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esas-my.sharepoint.com/personal/mmanzano_saesas_gov_co/Documents/GC/GC/2021/Linea PAA/"/>
    </mc:Choice>
  </mc:AlternateContent>
  <xr:revisionPtr revIDLastSave="0" documentId="8_{243A6CD2-DA57-4303-B969-FFFCEED370F4}" xr6:coauthVersionLast="46" xr6:coauthVersionMax="46" xr10:uidLastSave="{00000000-0000-0000-0000-000000000000}"/>
  <bookViews>
    <workbookView xWindow="-120" yWindow="-120" windowWidth="20730" windowHeight="11160" activeTab="1" xr2:uid="{A7896AC1-5E26-45A5-B88E-84CFD4E6E595}"/>
  </bookViews>
  <sheets>
    <sheet name="CONSOLIDADO" sheetId="4" r:id="rId1"/>
    <sheet name="Ultima V" sheetId="1" r:id="rId2"/>
  </sheets>
  <definedNames>
    <definedName name="_xlnm._FilterDatabase" localSheetId="1" hidden="1">'Ultima V'!$A$1:$J$57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7" i="1" l="1"/>
  <c r="E47" i="1"/>
  <c r="E10" i="4"/>
  <c r="E147" i="4"/>
  <c r="G122" i="4"/>
  <c r="E112" i="4"/>
  <c r="E99" i="4"/>
  <c r="E100" i="4"/>
  <c r="E72" i="4"/>
  <c r="D11" i="1" l="1"/>
  <c r="G151" i="4" l="1"/>
  <c r="E46" i="1" s="1"/>
  <c r="G150" i="4"/>
  <c r="E45" i="1" s="1"/>
  <c r="G149" i="4"/>
  <c r="E44" i="1" s="1"/>
  <c r="G148" i="4"/>
  <c r="E43" i="1" s="1"/>
  <c r="G146" i="4"/>
  <c r="E41" i="1" s="1"/>
  <c r="G144" i="4"/>
  <c r="E40" i="1" s="1"/>
  <c r="G142" i="4"/>
  <c r="E39" i="1" s="1"/>
  <c r="G141" i="4"/>
  <c r="E38" i="1" s="1"/>
  <c r="G140" i="4"/>
  <c r="E37" i="1" s="1"/>
  <c r="G139" i="4"/>
  <c r="E36" i="1" s="1"/>
  <c r="G138" i="4"/>
  <c r="E35" i="1" s="1"/>
  <c r="G135" i="4"/>
  <c r="E34" i="1" s="1"/>
  <c r="G133" i="4"/>
  <c r="E33" i="1" s="1"/>
  <c r="G132" i="4"/>
  <c r="E32" i="1" s="1"/>
  <c r="G131" i="4"/>
  <c r="E31" i="1" s="1"/>
  <c r="G129" i="4"/>
  <c r="E30" i="1" s="1"/>
  <c r="G128" i="4"/>
  <c r="E29" i="1" s="1"/>
  <c r="G127" i="4"/>
  <c r="E28" i="1" s="1"/>
  <c r="G124" i="4"/>
  <c r="E27" i="1" s="1"/>
  <c r="E26" i="1"/>
  <c r="G121" i="4"/>
  <c r="E25" i="1" s="1"/>
  <c r="G118" i="4"/>
  <c r="E24" i="1" s="1"/>
  <c r="G115" i="4"/>
  <c r="E23" i="1" s="1"/>
  <c r="G113" i="4"/>
  <c r="E22" i="1" s="1"/>
  <c r="G111" i="4"/>
  <c r="E21" i="1" s="1"/>
  <c r="G110" i="4"/>
  <c r="E20" i="1" s="1"/>
  <c r="G109" i="4"/>
  <c r="E19" i="1" s="1"/>
  <c r="G107" i="4"/>
  <c r="E18" i="1" s="1"/>
  <c r="G96" i="4"/>
  <c r="E17" i="1" s="1"/>
  <c r="G85" i="4"/>
  <c r="E16" i="1" s="1"/>
  <c r="G83" i="4"/>
  <c r="E15" i="1" s="1"/>
  <c r="G81" i="4"/>
  <c r="E14" i="1" s="1"/>
  <c r="G80" i="4"/>
  <c r="E13" i="1" s="1"/>
  <c r="G75" i="4"/>
  <c r="E12" i="1" s="1"/>
  <c r="G72" i="4"/>
  <c r="E11" i="1" s="1"/>
  <c r="G71" i="4"/>
  <c r="E10" i="1" s="1"/>
  <c r="G70" i="4"/>
  <c r="E9" i="1" s="1"/>
  <c r="G65" i="4"/>
  <c r="E8" i="1" s="1"/>
  <c r="G63" i="4"/>
  <c r="E7" i="1" s="1"/>
  <c r="G61" i="4"/>
  <c r="E6" i="1" s="1"/>
  <c r="G59" i="4"/>
  <c r="E5" i="1" s="1"/>
  <c r="G54" i="4"/>
  <c r="E4" i="1" s="1"/>
  <c r="G44" i="4"/>
  <c r="E3" i="1" s="1"/>
  <c r="G43" i="4"/>
  <c r="E2" i="1" s="1"/>
  <c r="D2" i="1"/>
  <c r="D3" i="1"/>
  <c r="D45" i="1"/>
  <c r="D8" i="1"/>
  <c r="D22" i="1"/>
  <c r="D40" i="1" l="1"/>
  <c r="C47" i="1" l="1"/>
  <c r="F46" i="1"/>
  <c r="D46" i="1"/>
  <c r="F45" i="1"/>
  <c r="F44" i="1"/>
  <c r="D44" i="1"/>
  <c r="F43" i="1"/>
  <c r="D43" i="1"/>
  <c r="D42" i="1"/>
  <c r="F42" i="1" s="1"/>
  <c r="D41" i="1"/>
  <c r="F40" i="1"/>
  <c r="F39" i="1"/>
  <c r="D39" i="1"/>
  <c r="D38" i="1"/>
  <c r="D37" i="1"/>
  <c r="D36" i="1"/>
  <c r="F35" i="1"/>
  <c r="D35" i="1"/>
  <c r="D34" i="1"/>
  <c r="D33" i="1"/>
  <c r="D32" i="1"/>
  <c r="F31" i="1"/>
  <c r="D31" i="1"/>
  <c r="D30" i="1"/>
  <c r="D29" i="1"/>
  <c r="D28" i="1"/>
  <c r="D27" i="1"/>
  <c r="F26" i="1"/>
  <c r="D26" i="1"/>
  <c r="F25" i="1"/>
  <c r="D25" i="1"/>
  <c r="F24" i="1"/>
  <c r="D24" i="1"/>
  <c r="F23" i="1"/>
  <c r="D23" i="1"/>
  <c r="F22" i="1"/>
  <c r="D21" i="1"/>
  <c r="D20" i="1"/>
  <c r="F19" i="1"/>
  <c r="D19" i="1"/>
  <c r="F18" i="1"/>
  <c r="D18" i="1"/>
  <c r="D17" i="1"/>
  <c r="F16" i="1"/>
  <c r="D16" i="1"/>
  <c r="F15" i="1"/>
  <c r="D15" i="1"/>
  <c r="D14" i="1"/>
  <c r="D13" i="1"/>
  <c r="F12" i="1"/>
  <c r="D12" i="1"/>
  <c r="F11" i="1"/>
  <c r="D10" i="1"/>
  <c r="D9" i="1"/>
  <c r="F8" i="1"/>
  <c r="F7" i="1"/>
  <c r="D7" i="1"/>
  <c r="D6" i="1"/>
  <c r="F6" i="1" s="1"/>
  <c r="F5" i="1"/>
  <c r="D5" i="1"/>
  <c r="F4" i="1"/>
  <c r="D4" i="1"/>
  <c r="F3" i="1"/>
  <c r="F13" i="1" l="1"/>
  <c r="F14" i="1"/>
  <c r="F20" i="1"/>
  <c r="F21" i="1"/>
  <c r="F30" i="1"/>
  <c r="F32" i="1"/>
  <c r="F38" i="1"/>
  <c r="F9" i="1"/>
  <c r="F27" i="1"/>
  <c r="F34" i="1"/>
  <c r="F41" i="1"/>
  <c r="F28" i="1"/>
  <c r="F10" i="1"/>
  <c r="F17" i="1"/>
  <c r="F29" i="1"/>
  <c r="F36" i="1"/>
  <c r="F33" i="1"/>
  <c r="F37" i="1"/>
  <c r="F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Yeniffer Lorena Contreras Moreno</author>
  </authors>
  <commentList>
    <comment ref="D2" authorId="0" shapeId="0" xr:uid="{B789ABA5-0900-4024-9019-C824564F027F}">
      <text>
        <r>
          <rPr>
            <b/>
            <sz val="9"/>
            <color indexed="81"/>
            <rFont val="Tahoma"/>
            <family val="2"/>
          </rPr>
          <t>Yeniffer Lorena Contreras Moreno:</t>
        </r>
        <r>
          <rPr>
            <sz val="9"/>
            <color indexed="81"/>
            <rFont val="Tahoma"/>
            <family val="2"/>
          </rPr>
          <t xml:space="preserve">
Los 229.371.233 millones de adicion que indica el acta 33 se ajustaron con el acta 34 pasando a la linea129.371.233</t>
        </r>
      </text>
    </comment>
    <comment ref="D3" authorId="0" shapeId="0" xr:uid="{2139ED5C-A3C7-4B08-BEBF-2E59D995B11B}">
      <text>
        <r>
          <rPr>
            <b/>
            <sz val="9"/>
            <color indexed="81"/>
            <rFont val="Tahoma"/>
            <family val="2"/>
          </rPr>
          <t>Yeniffer Lorena Contreras Moreno:</t>
        </r>
        <r>
          <rPr>
            <sz val="9"/>
            <color indexed="81"/>
            <rFont val="Tahoma"/>
            <family val="2"/>
          </rPr>
          <t xml:space="preserve">
Los 267.437.500 millones de adicion que indica el acta 33 se ajustaron con el acta 34 pasando a la linea 283.776.303 del plan.
Los 290.217.430</t>
        </r>
      </text>
    </comment>
    <comment ref="D10" authorId="0" shapeId="0" xr:uid="{B0A3150F-D8B8-49C7-AB2A-10F3CFAF4C0B}">
      <text>
        <r>
          <rPr>
            <b/>
            <sz val="9"/>
            <color indexed="81"/>
            <rFont val="Tahoma"/>
            <family val="2"/>
          </rPr>
          <t>Yeniffer Lorena Contreras Moreno:</t>
        </r>
        <r>
          <rPr>
            <sz val="9"/>
            <color indexed="81"/>
            <rFont val="Tahoma"/>
            <family val="2"/>
          </rPr>
          <t xml:space="preserve">
Los 38.066.267 de reduccion que indica el acta 33 se ajustaron con el acta 34 pasando a la linea 154.404.070 del plan</t>
        </r>
      </text>
    </comment>
    <comment ref="D29" authorId="0" shapeId="0" xr:uid="{5F2159C4-4E83-4CF4-BF79-856CDBE4570C}">
      <text>
        <r>
          <rPr>
            <b/>
            <sz val="9"/>
            <color indexed="81"/>
            <rFont val="Tahoma"/>
            <family val="2"/>
          </rPr>
          <t>Yeniffer Lorena Contreras Moreno:</t>
        </r>
        <r>
          <rPr>
            <sz val="9"/>
            <color indexed="81"/>
            <rFont val="Tahoma"/>
            <family val="2"/>
          </rPr>
          <t xml:space="preserve">
En la presentacion indica que el valor es 47.606.264 pero en el acta quedo inconsitente el valor menos 1.000. Por lo cual de deja valor de la presentacion.</t>
        </r>
      </text>
    </comment>
    <comment ref="D40" authorId="0" shapeId="0" xr:uid="{3B675CD6-E530-436B-B5D6-1F74432B0C0E}">
      <text>
        <r>
          <rPr>
            <b/>
            <sz val="9"/>
            <color indexed="81"/>
            <rFont val="Tahoma"/>
            <family val="2"/>
          </rPr>
          <t>Yeniffer Lorena Contreras Moreno:</t>
        </r>
        <r>
          <rPr>
            <sz val="9"/>
            <color indexed="81"/>
            <rFont val="Tahoma"/>
            <family val="2"/>
          </rPr>
          <t xml:space="preserve">
Los 30 millones de adicion que indica el acta 33 se ajustaron con el acta 34 pasando a la linea 40 del plan</t>
        </r>
      </text>
    </comment>
  </commentList>
</comments>
</file>

<file path=xl/sharedStrings.xml><?xml version="1.0" encoding="utf-8"?>
<sst xmlns="http://schemas.openxmlformats.org/spreadsheetml/2006/main" count="725" uniqueCount="401">
  <si>
    <t xml:space="preserve">LINEA </t>
  </si>
  <si>
    <t>DESCRIPCIÓN</t>
  </si>
  <si>
    <t>VALOR INICIAL LINEAS DEL PAA</t>
  </si>
  <si>
    <t>VALOR CON MODIFICACIONES</t>
  </si>
  <si>
    <t>VALOR PRESUPUESTO</t>
  </si>
  <si>
    <t>DIFERENCIAS</t>
  </si>
  <si>
    <t xml:space="preserve">ACTAS </t>
  </si>
  <si>
    <t>FECHA</t>
  </si>
  <si>
    <t>OBSERVACION</t>
  </si>
  <si>
    <t>HONORARIOS VARIOS, ADMINISTRATIVOS, JURIDICOS, AVALUOS, ENTRE OTROS</t>
  </si>
  <si>
    <t>COMISIONES CARTERA, INMUEBLES, MUEBLES, MARTILLO Y OTROS GASTOS COMERCIALIZACIÒN</t>
  </si>
  <si>
    <t>PUBLICACIONES, IMPRESIÓN, ACTIVIDADES PROMOCION  Y OTROS</t>
  </si>
  <si>
    <r>
      <t>20,23,</t>
    </r>
    <r>
      <rPr>
        <sz val="12"/>
        <color rgb="FFFF0000"/>
        <rFont val="Arial Narrow"/>
        <family val="2"/>
      </rPr>
      <t>29-31</t>
    </r>
    <r>
      <rPr>
        <sz val="12"/>
        <color theme="1"/>
        <rFont val="Arial Narrow"/>
        <family val="2"/>
      </rPr>
      <t>,36,44</t>
    </r>
  </si>
  <si>
    <t>31/07/2020
13/08/2020
14/09/2020
24/09/2020
15/10/2020
10/11/2020</t>
  </si>
  <si>
    <t xml:space="preserve">CONTRATOS DE CONSERJERIA  DE BIENES </t>
  </si>
  <si>
    <t xml:space="preserve">DESALOJOS DE BIENES </t>
  </si>
  <si>
    <t>17,34,44</t>
  </si>
  <si>
    <t>01/07/2020
06/10/2020
10/11/2020</t>
  </si>
  <si>
    <t xml:space="preserve">SERVICIOS DE INVESTIGACIÓN, GESTIÓN PARA LIQUIDACIÓN Y PAGO DE PASIVOS </t>
  </si>
  <si>
    <t>28,39</t>
  </si>
  <si>
    <t>10/09/2020
23/10/2020</t>
  </si>
  <si>
    <t>ARRENDAMIENTO, ALMACENAMIENTO, BODEGAJE DE BIENES, TRANSPORTE DE MERCANCIAS, EMBALAJE, ACARREOS Y OTROS.</t>
  </si>
  <si>
    <t>PRESTACIÓN DE LOS SERVICIOS DE TRANSPORTE, OPERACIÓN LOGÍSTICA NECESARIA PARA LA RECEPCIÓN, CUSTODIA, MANUTENCIÓN, CUIDADO, MARCAJE, SOSTENIMIENTO, PESAJE Y GESTIONES DE INTERMEDIACIÓN COMERCIAL, DE LOS SEMOVIENTES QUE LE SEAN ASIGNADOS Y EJERCER LA ADMINISTRACIÓN DE LOS INMUEBLES DONDE SE UBICAN ESTOS</t>
  </si>
  <si>
    <t>14,38</t>
  </si>
  <si>
    <t>10/06/2020
21/10/2020</t>
  </si>
  <si>
    <t>ENTRE LA SOCIEDAD DE ACTIVOS ESPECIALES S.A.S. - SAE Y EL BANCO DE LA REPUBLICA PARA EL DEPOSITO EN CUSTODIA DE ORO, PLATA, PLATINO O DIVISAS, LA REMISIÓN AL EXTERIOR DE LAS DIVISAS PARA SU ACEPTACIÓN Y AUTENTCACIÓN POR LOS BANCOS EMISORES CORRESPONDIENTES.</t>
  </si>
  <si>
    <t>33,34,45</t>
  </si>
  <si>
    <t>02/10/2020
06/10/2020
17/11/2020</t>
  </si>
  <si>
    <t>SERVICIOS TEMPORALES</t>
  </si>
  <si>
    <t>ADQUISICIÓN Y RENOVACIÓN DE SOFTWARE</t>
  </si>
  <si>
    <t>9,20,27,27,44(3)</t>
  </si>
  <si>
    <t>04/05/2020
31/07/2020
03/09/2020
03/09/2020
10/11/2020</t>
  </si>
  <si>
    <t>SEGURIDAD INDUSTRIAL</t>
  </si>
  <si>
    <t>PLAN DE SANEAMIENTO BÁSICO Y GESTIÓN AMBIENTAL</t>
  </si>
  <si>
    <t>10/09/2020
30/10/2020</t>
  </si>
  <si>
    <t>ARRENDAMIENTOS BIENES MUEBLES Y OTROS</t>
  </si>
  <si>
    <t>9,19,27,28,34,41,44</t>
  </si>
  <si>
    <t>04/05/2020
13/07/2020
03/09/2020
10/09/2020
06/10/2020
10/11/2020</t>
  </si>
  <si>
    <t>SEGUROS</t>
  </si>
  <si>
    <t>3,11,23,28,45</t>
  </si>
  <si>
    <t>14/02/2020
27/05/2020
13/08/2020
10/09/2020
17/11/2020</t>
  </si>
  <si>
    <t>VIATICOS Y GASTOS DE VIAJE</t>
  </si>
  <si>
    <t>43,44,45</t>
  </si>
  <si>
    <t>06/11/2020
10/11/2020
17/11/2020</t>
  </si>
  <si>
    <t>ACTIVIDADES DEL PLAN DE BIENESTAR SOCIAL LABORAL</t>
  </si>
  <si>
    <t>28,28,43</t>
  </si>
  <si>
    <t>10/09/2020
10/09/2020
06/11/2020</t>
  </si>
  <si>
    <t>ACTIVIDADES DEL PLAN EMPRESARIAL DE CAPACITACIÓN.</t>
  </si>
  <si>
    <t>MEDICINA PREVENTIVA Y DEL TRABAJO</t>
  </si>
  <si>
    <t>28,43</t>
  </si>
  <si>
    <t>10/09/2020
06/11/2020</t>
  </si>
  <si>
    <t>CUSTODIA PORTAFOLIO</t>
  </si>
  <si>
    <t>11,16,21,41</t>
  </si>
  <si>
    <t>27/05/2020
17/06/2020
05/08/2020
30/10/2020</t>
  </si>
  <si>
    <t>ROM Y DEMOLICIONES</t>
  </si>
  <si>
    <t>ORGANIZACIÓN Y ESTANTERIA ARCHIVO</t>
  </si>
  <si>
    <t>17,28,30,34</t>
  </si>
  <si>
    <t>01/07/2020
10/09/2020
22/09/2020
06/10/2020</t>
  </si>
  <si>
    <t xml:space="preserve">MANTENIMIENTO DE APLICACIONES </t>
  </si>
  <si>
    <r>
      <t>7,</t>
    </r>
    <r>
      <rPr>
        <sz val="12"/>
        <color rgb="FFFF0000"/>
        <rFont val="Arial Narrow"/>
        <family val="2"/>
      </rPr>
      <t>29-31</t>
    </r>
    <r>
      <rPr>
        <sz val="12"/>
        <color theme="1"/>
        <rFont val="Arial Narrow"/>
        <family val="2"/>
      </rPr>
      <t>,34,44</t>
    </r>
  </si>
  <si>
    <t>20/03/2020
14/09/2020
24/09/2020
06/10/2020
10/11/2020</t>
  </si>
  <si>
    <t>MONITOREO DE MEDIOS</t>
  </si>
  <si>
    <t>29-31</t>
  </si>
  <si>
    <t>14/09/2020
24/09/2020</t>
  </si>
  <si>
    <t>COMPRA DE INFRAESTRUCTURA, EQUIPOS Y OTROS</t>
  </si>
  <si>
    <t>7,23,27,30,34</t>
  </si>
  <si>
    <t>20/03/2020
13/08/2020
03/09/2020
22/09/2020
06/10/2020</t>
  </si>
  <si>
    <t>MODIF 29 - 31</t>
  </si>
  <si>
    <t>ADQUISICIÓN DE MOBILIARIO, ELECTRODOMESTICOS, OTROS MATERIALES Y SUMINISTROS</t>
  </si>
  <si>
    <t xml:space="preserve">COMBUSTIBLE </t>
  </si>
  <si>
    <t>ELEMENTOS DE FERRETERIA Y OTROS</t>
  </si>
  <si>
    <t>PAPELERIA Y OTROS</t>
  </si>
  <si>
    <t xml:space="preserve">MANTENIMIENTO Y ADQUISICIÓN DE PURIFICADORES DE AGUA </t>
  </si>
  <si>
    <t xml:space="preserve">MANTENIMIENTO  PREVENTIVO Y CORRECTIVO PARA LOS VEHÍCULOS </t>
  </si>
  <si>
    <t>SERVICIO INTEGRAL DE ASEO, CAFETERIA Y MANTENIMIENTO</t>
  </si>
  <si>
    <t>3,10,20,45</t>
  </si>
  <si>
    <t>14/02/2020
12/05/2020
31/07/2020
17/11/2020</t>
  </si>
  <si>
    <t>SERVICIO DE VIGILANCIA Y SEGURIDAD PRIVADA</t>
  </si>
  <si>
    <t>11,11,17,20,20,21,23,31,34</t>
  </si>
  <si>
    <t>27/05/2020
27/05/2020
01/07/2020
31/07/2020
31/07/2020
05/08/2020
13/08/2020
24/09/2020
06/10/2020</t>
  </si>
  <si>
    <t>SERVICIO DE ENVIO Y ENTREGA DE CORRRESPONDENCIA Y MENSAJERIA</t>
  </si>
  <si>
    <t xml:space="preserve">SUSCRIPCIONES ESPECIALIZADAS </t>
  </si>
  <si>
    <t xml:space="preserve">REPRODUCCIÓN Y FOTOCOPIADO  </t>
  </si>
  <si>
    <t>3,44</t>
  </si>
  <si>
    <t>14/02/2020
10/11/2020</t>
  </si>
  <si>
    <t>ARRENDAMIENTO SEDES</t>
  </si>
  <si>
    <t>3,10,28,30</t>
  </si>
  <si>
    <t>14/02/2020
12/05/2020
10/09/2020
22/09/2020</t>
  </si>
  <si>
    <t xml:space="preserve">MANTENIMIENTO DE INFRAESTRUCTURA </t>
  </si>
  <si>
    <t>7,34,44,44</t>
  </si>
  <si>
    <t>20/03/2020
06/10/2020
10/11/2020
10/11/2020</t>
  </si>
  <si>
    <t>ESTUDIOS DE MERCADO INMOBILIARIO</t>
  </si>
  <si>
    <t xml:space="preserve">PRESTACION DE SERVICIOS PARA FUNDICIÓN, TRANSPORTE, COMERCIALIZACIALIZACIÓN DE ORO Y SERVICIOS CONEXOS </t>
  </si>
  <si>
    <t>21,21,34,45</t>
  </si>
  <si>
    <t>05/08/2020
05/08/2020
06/10/2020
17/11/2020</t>
  </si>
  <si>
    <t>SERVICIOS DE TRANSPORTE PROYECTO PAZ</t>
  </si>
  <si>
    <t>SERVICIO DE ACCESO Y CONSULTA PARA LA GESTION DEL RIESGO CREDITICIO, FINANCIERA Y LEGAL</t>
  </si>
  <si>
    <t>3,19</t>
  </si>
  <si>
    <t>14/02/2020
13/07/2020</t>
  </si>
  <si>
    <t>CREACION G.B.I</t>
  </si>
  <si>
    <t>SERVICIO CALL CENTER</t>
  </si>
  <si>
    <t>CREACION OF PLANEACION</t>
  </si>
  <si>
    <t>DESENCALLAMIENTO MR. GOBY</t>
  </si>
  <si>
    <t>CREACION FINANCIERA</t>
  </si>
  <si>
    <t>ESTUDIOS DE CARGAS LABORALES</t>
  </si>
  <si>
    <t>CREACION TALENTO HUMANO</t>
  </si>
  <si>
    <t>TOTAL LINEAS DEL PLAN VIGENCIA 2020</t>
  </si>
  <si>
    <t>20,28,43,44,45,49</t>
  </si>
  <si>
    <t>31/07/2020
10/09/2020
06/11/2020
10/11/2020
17/11/2020
04/12/2020</t>
  </si>
  <si>
    <t>21,28,29,49</t>
  </si>
  <si>
    <t>05/08/2020
10/09/2020
14/09/2020
04/12/2020</t>
  </si>
  <si>
    <t>14,16,17,21,34,36,41,44,45,49</t>
  </si>
  <si>
    <t>10/06/2020
17/06/2020
01/07/2020
05/08/2020
15/10/2020
30/10/2020
10/11/2020
17/11/2020
04/12/2020</t>
  </si>
  <si>
    <t>28,38,44,49</t>
  </si>
  <si>
    <t>10/09/2020
21/10/2020
11/10/2020
04/12/2020</t>
  </si>
  <si>
    <t>28,30,32,33,34,34,44,51,51,52</t>
  </si>
  <si>
    <t>17,23,28,28,29,30,33,34,38,40,41,43,44,45,49,49,49,52</t>
  </si>
  <si>
    <t>01/07/2020
13/08/2020
10/09/2020
10/09/2020
14/09/2020
22/09/2020
02/10/2020
06/10/2020
21/10/2020
26/10/2020
30/10/2020
06/11/2020
10/11/2020
17/11/2020
04/12/2020
04/12/2020
04/12/2020
28/12/2020</t>
  </si>
  <si>
    <t>10/09/2020
22/09/2020
01/10/2020
02/10/2020
06/10/2020
06/10/2020
10/11/2020
22/12/2020
22/12/2020
28/12/2020</t>
  </si>
  <si>
    <t>Empresa</t>
  </si>
  <si>
    <t>Rubro</t>
  </si>
  <si>
    <t>Descripción</t>
  </si>
  <si>
    <t>LINEA DEL PLAN</t>
  </si>
  <si>
    <t>P.Definitivo</t>
  </si>
  <si>
    <t>Compromisos</t>
  </si>
  <si>
    <t>FRISCO</t>
  </si>
  <si>
    <t>A-8-3-9-08-01</t>
  </si>
  <si>
    <t>OTROS GASTOS POR ADQUISICIÓN DE SERVICIOS INCAUTADO</t>
  </si>
  <si>
    <t>LP-39 ESTUDIOS DE MERCADO INMOBILIARIO</t>
  </si>
  <si>
    <t>A-2-0-4-41-13</t>
  </si>
  <si>
    <t>OTROS GASTOS POR ADQUISICION DE SERVICIOS EXTINTO</t>
  </si>
  <si>
    <t>A-2-0-4-01-08</t>
  </si>
  <si>
    <t>SOFTWARE EXTINTO</t>
  </si>
  <si>
    <t>LP-11 COMPRA DE APLICACIONES Y LOS SERVICIOS QUE LA ACOMPAÑAN (SUSCRIPCIONES, LICENCIAMIENTO, RENOVACIÓN, SEGURIDAD, SERVICIOS DE NUBE  Y TRANSFERENCIA DE CONOCIMIENTO, ENTRE OTROS)</t>
  </si>
  <si>
    <t>A-2-0-4-01-06</t>
  </si>
  <si>
    <t>HARDWARE EXTINTO</t>
  </si>
  <si>
    <t>LP-25 COMPRA DE INFRAESTRUCTURA Y LOS SERVICIOS QUE LA ACOMPAÑAN (REDES, COMUNICACIONES, SEGURIDAD, SERVICIO DE NUBE, SOFTWARE BASE Y TRANSFERENCIA DE CONOCIMIENTO, ENTRE OTROS)</t>
  </si>
  <si>
    <t>A-2-0-4-05-13</t>
  </si>
  <si>
    <t>MANTENIMIENTO DE SOFTWARE EXTINTO</t>
  </si>
  <si>
    <t>LP-23 MANTENIMIENTO DE APLICACIONES Y LOS SERVICIOS QUE LA ACOMPAÑAN (SOPORTE, ENTRE OTROS)</t>
  </si>
  <si>
    <t>A-2-0-4-05-14</t>
  </si>
  <si>
    <t>MANTENIMIENTO DE HARDWARE EXTINTO</t>
  </si>
  <si>
    <t>LP-38 MANTENIMIENTO DE INFRAESTRUCTURA Y LOS SERVICIOS QUE LA ACOMPAÑAN (SOPORTE, ENTRE OTROS)</t>
  </si>
  <si>
    <t>A-1-0-2-12-01</t>
  </si>
  <si>
    <t>HONORARIOS ASESORIA ADMINISTRATIVA EXTINTO</t>
  </si>
  <si>
    <t>LP-01  IDENTIFICADORES DE PREDIOS FRISCO</t>
  </si>
  <si>
    <t>A-8-3-9-10-01</t>
  </si>
  <si>
    <t>HONORARIOS VARIOS INCAUTADO</t>
  </si>
  <si>
    <t>LP-01 OPERADOR LOGISTICO</t>
  </si>
  <si>
    <t>A-2-0-4-07-06</t>
  </si>
  <si>
    <t>OTROS GASTOS POR IMPRESOS Y PUBLICACIONES EXTINTO</t>
  </si>
  <si>
    <t>LP-24 MONITOREO DE MEDIOS</t>
  </si>
  <si>
    <t>LP-03 PUBLICACIONES DE LEY EXTINTOS</t>
  </si>
  <si>
    <t>A-2-0-4-42-01</t>
  </si>
  <si>
    <t>COMISIONES CARTERA, INMUEBLES, MUEBLES, MARTILLO Y OTROS EXTINTO</t>
  </si>
  <si>
    <t>LP-02 COMISIONES CARTERA, INMUEBLES, MUEBLES, MARTILLO Y OTROS</t>
  </si>
  <si>
    <t>A-8-3-9-05-02</t>
  </si>
  <si>
    <t>COMISIONES CARTERA, INMUEBLES, MUEBLES, MARTILLO Y OTROS INCAUTADO</t>
  </si>
  <si>
    <t>LP-03 PUBLICACIONES PERIODICOS LOCALES Y REGIONALES, ACTIVIDADES PROMOCION DE INMUEBLES FERIAS, BRIGADAS Y OTROS.</t>
  </si>
  <si>
    <t>A-8-3-9-13-01</t>
  </si>
  <si>
    <t>OTROS GASTOS POR IMPRESOS Y PUBLICACIONES INCAUTADO</t>
  </si>
  <si>
    <t>A-9-1-9-01-01</t>
  </si>
  <si>
    <t>RESERVAS PRESUPUESTALES Y PASIVOS GASTOS PERSONAL</t>
  </si>
  <si>
    <t>A-9-1-9-01-02</t>
  </si>
  <si>
    <t>RESERVAS PRESUPUESTALES Y PASIVOS GASTOS GENERALES</t>
  </si>
  <si>
    <t>A-2-0-4-05-10</t>
  </si>
  <si>
    <t>SERVICIO DE SEGURIDAD Y VIGILANCIA EXTINTO</t>
  </si>
  <si>
    <t>LP-33 CONTRATAR EL SERVICIO DE VIGILANCIA Y SEGURIDAD PRIVADA - FRISCO.</t>
  </si>
  <si>
    <t>A-2-0-4-09-02</t>
  </si>
  <si>
    <t>SEGUROS TODO RIESGO EXTINTO</t>
  </si>
  <si>
    <t>LP-15 SEGUROS TODO RIESGO DAÑO MATERIAL - PAGO PRIMA POLIZA -  FRISCO</t>
  </si>
  <si>
    <t>A-2-0-4-09-03</t>
  </si>
  <si>
    <t>SEGUROS TRANSPORTE DE MERCANCIAS EXTINTO</t>
  </si>
  <si>
    <t>LP-15 SEGUROS TRANSPORTE DE MERCANCIAS - PAGO PRIMA POLIZA -  FRISCO</t>
  </si>
  <si>
    <t>LP-15 SEGURO TRANSPORTE DE VALORES - PAGO PRIMA POLIZA -  FRISCO</t>
  </si>
  <si>
    <t>LP-01 ESTUDIO DE MERCADO Y APOYO COMERCIALIZACIÓN</t>
  </si>
  <si>
    <t>A-2-0-4-09-08</t>
  </si>
  <si>
    <t>SEGURO RESPONSABILIDAD CIVIL EXTINTO</t>
  </si>
  <si>
    <t>LP-15 PAGO PRIMA POLIZA  SEGURO RESPONSABILIDAD CIVIL</t>
  </si>
  <si>
    <t>A-2-0-4-02-02</t>
  </si>
  <si>
    <t>MOBILIARIO Y ENSERES EXTINTO</t>
  </si>
  <si>
    <t>LP-22 COMPRA ESTANTERIA ARCHIVO - FRISCO</t>
  </si>
  <si>
    <t>LP-22 ORGANIZACION DE ARCHIVOS</t>
  </si>
  <si>
    <t>A-2-0-4-05-08</t>
  </si>
  <si>
    <t>SERVICIO DE ASEO EXTINTO</t>
  </si>
  <si>
    <t>LP-32 LIMPIEZA Y ASEO DEL REPOSITORIO DEL ARCHIVO</t>
  </si>
  <si>
    <t>A-2-0-4-11-01</t>
  </si>
  <si>
    <t>ALIMENTACIÓN EXTINTO</t>
  </si>
  <si>
    <t>LP-16 VIATICOS Y GASTOS DE VIAJE. ALIMENTACIÓN</t>
  </si>
  <si>
    <t>A-8-3-9-09-01</t>
  </si>
  <si>
    <t>ALIMENTACIÓN INCAUTADO</t>
  </si>
  <si>
    <t>LP-16 VIATICOS Y GASTOS DE VIAJE. ET ALIMENTACIÓN</t>
  </si>
  <si>
    <t>A-2-0-4-11-02</t>
  </si>
  <si>
    <t>ALOJAMIENTO EXTINTO</t>
  </si>
  <si>
    <t>LP-16 VIATICOS Y GASTOS DE VIAJE. ALOJAMIENTO</t>
  </si>
  <si>
    <t>A-8-3-9-09-02</t>
  </si>
  <si>
    <t>ALOJAMIENTO INCAUTADO</t>
  </si>
  <si>
    <t>LP-16 VIATICOS Y GASTOS DE VIAJE. ET ALOJAMIENTO</t>
  </si>
  <si>
    <t>A-2-0-4-11-04</t>
  </si>
  <si>
    <t>TRANSPORTE AEREO EXTINTO</t>
  </si>
  <si>
    <t>LP-16 GASTOS DE VIAJE TRANSPORTE AEREO TRANSPORTE AEREO</t>
  </si>
  <si>
    <t>A-8-3-9-09-03</t>
  </si>
  <si>
    <t>TRANSPORTE AEREO INCAUTADO</t>
  </si>
  <si>
    <t>LP-01 ESTUDIOS DE SEGURIDAD PARA DEPOSITARIOS PROVISIONALES Y LIQUIDADORES.</t>
  </si>
  <si>
    <t>A-2-0-4-22-03</t>
  </si>
  <si>
    <t>GASTOS POR MANEJO DE PORTAFOLIO EXTINTO</t>
  </si>
  <si>
    <t>LP-20 CUSTODIA PORTAFOLIO</t>
  </si>
  <si>
    <t>A-8-3-9-10-02</t>
  </si>
  <si>
    <t>HONORARIOS JURIDICOS INCAUTADO</t>
  </si>
  <si>
    <t>LP-01 DEFENSA JUDICIAL, CARTERA, VIGILANCIA JUDICIAL,  PERITOS ESPECIALES,  PROCESOS ESPECIALES, ENTRE OTROS</t>
  </si>
  <si>
    <t>A-1-0-2-12-02</t>
  </si>
  <si>
    <t>HONORARIOS ASESORIAS JURIDICAS EXTINTO</t>
  </si>
  <si>
    <t>LP-01 HONROARIOS VARIOS VIC BIENES</t>
  </si>
  <si>
    <t>A-2-0-4-05-01</t>
  </si>
  <si>
    <t>MANTENIMIENTO DE BIENES INMUEBLES EXTINTO</t>
  </si>
  <si>
    <t>LP-04 CONTRATOS DE CONSERJERIA  DE BIENES INMUEBLES EXTINTOS</t>
  </si>
  <si>
    <t>A-8-3-9-07-03</t>
  </si>
  <si>
    <t>MANTENIMIENTO DE BIENES INMUEBLES CONSERJERIA INCAUTADO</t>
  </si>
  <si>
    <t>LP-04 CONTRATOS DE CONSERJERIA  DE BIENES INMUEBLES EN PROCESO</t>
  </si>
  <si>
    <t>LP-05 PAGO POR GASTOS DE DESALOJOS DE BIENES INMUEBLES EXTINTOS</t>
  </si>
  <si>
    <t>LP-05 PAGO POR GASTOS DE DESALOJOS DE BIENES INMUEBLES EN PROCESO</t>
  </si>
  <si>
    <t>LP-06 SERVICIOS DE INVESTIGACIÓN, GESTIÓN PARA LIQUIDACIÓN Y PAGO DE PASIVOS EN PROCESO</t>
  </si>
  <si>
    <t>LP-06 SERVICIOS DE INVESTIGACIÓN, GESTIÓN PARA LIQUIDACIÓN Y PAGO DE PASIVOS EXTINTO</t>
  </si>
  <si>
    <t>LP-42 SERVICIO DE ACCESO Y CONSULTA PARA LA GESTION DEL RIESGO</t>
  </si>
  <si>
    <t>LP-01 VISITAS DE VALIDACIÓN DE INVENTARIO INMUEBLES IMPRODUCTIVOS Y/O OCUPADOS IRREGULARMENTE</t>
  </si>
  <si>
    <t>A-8-3-9-03-01</t>
  </si>
  <si>
    <t>ARRENDAMIENTO, ALMACENAMIENTO Y BODEGAJE DE BIENES INCAUTADO</t>
  </si>
  <si>
    <t>A-8-3-9-10-03</t>
  </si>
  <si>
    <t>HONORARIOS AVALUOS INCAUTADO</t>
  </si>
  <si>
    <t>LP-01 CONTRATAR LA PRESTACIÓN DE SERVICIOS DE AVALÚO TÉCNICO COMERCIAL DE BIENES MUEBLES</t>
  </si>
  <si>
    <t>LP-01 HONORARIOS  PIEZAS PROCESALES</t>
  </si>
  <si>
    <t>LP-01 CONTRATAR LA ASESORIA PARA LA UBICACION Y/O INACTIVACION DE BIENES MUEBLES, REALIZACIÓN INTEGRAL DE TRÁMITES Y OTROS</t>
  </si>
  <si>
    <t>LP-01 SERVICIOS DE DESTRUCCIÓN</t>
  </si>
  <si>
    <t>LP-07 ARRENDAMIENTO, ALMACENAMIENTO Y BODEGAJE DE BIENES</t>
  </si>
  <si>
    <t>LP-08 SERVICIOS DE TRANSPORTE, CUSTODIA, MANUTENCIÓN, CUIDADOS, MARCAJE, SOSTENIMIENTO, PESAJE Y GESTIONES DE INTERMEDIACIÓN COMERCIAL DE BOVINOS</t>
  </si>
  <si>
    <t>LP-09 CONVENIO BANCO DE LA REPUBLICA</t>
  </si>
  <si>
    <t>LP-01 HONORARIOS VARIOS - ADMINISTRACION DE BIENES MUEBLES</t>
  </si>
  <si>
    <t>LP-02 INTERMEDIACION COMERCIAL DE BIENES MUEBLES</t>
  </si>
  <si>
    <t>LP-40 OTROS GASTOS PARA LA ADQUISICION DE BIENES Y SERVICIOS</t>
  </si>
  <si>
    <t>A-2-0-4-17-01</t>
  </si>
  <si>
    <t>GASTOS IMPREVISTOS EXTINTO</t>
  </si>
  <si>
    <t>A-8-3-9-15-01</t>
  </si>
  <si>
    <t>GASTOS IMPREVISTOS INCAUTADO</t>
  </si>
  <si>
    <t>LP-44 DESENCALLAMIENTO MR GOBY</t>
  </si>
  <si>
    <t>LP-01 HONORARIOS PARA DESCONTAMINACIÓN DE DIVISAS</t>
  </si>
  <si>
    <t>LP-01 REALIZACIÓN AVALÚOS EN PROCESO</t>
  </si>
  <si>
    <t>A-1-0-2-12-03</t>
  </si>
  <si>
    <t>HONORARIOS AVALUOS EXTINTO</t>
  </si>
  <si>
    <t>LP-01 REALIZACIÓN AVALÚOS EXTINTOS</t>
  </si>
  <si>
    <t>LP-21 ROM (REPARACIONES, OBRAS Y MANTENIMIENTO INCLUIDAS LAS DECOLICIONES) EXTINTOS</t>
  </si>
  <si>
    <t>A-8-3-9-07-02</t>
  </si>
  <si>
    <t>ROM Y DEMOLICIONES INCAUTADO</t>
  </si>
  <si>
    <t>LP-21 ROM (REPARACIONES, OBRAS Y MANTENIMIENTO INCLUIDAS LAS DECOLICIONES) EN PROCESO</t>
  </si>
  <si>
    <t>LP-01 ESTIMADOS DE RENTA MASIVOS POR ECONOMETRIA E INTELIGENICA ARTIFICIAL</t>
  </si>
  <si>
    <t>LP-01 ASESORIA FINANCIERA DE VENTA MASIVA Y MODELO DE</t>
  </si>
  <si>
    <t>LP-01 HONORARIOS VARIOS VICEPRESIDENCIA SOCIEDADES</t>
  </si>
  <si>
    <t>LP-01 AVALÚOS COMERCIALES DE SOCIEDADES EN PROCESO QUE NO  CUENTEN CON INGRESOS</t>
  </si>
  <si>
    <t>LP-01 HONORARIOS EXTINTOS</t>
  </si>
  <si>
    <t>LP-01 HONORARIOS EN PROCESO</t>
  </si>
  <si>
    <t>LP-3 IMPRESIÓN DE AVISOS Y PUBLICACIONES EN DIARIOS DE AMPLIA CIRCULACIÓN A NIVEL PAÍS, RUEDAS DE NEGOCIOS PARA COMERCIALIZACIÓN DE INMUEBLES SOCIALES. EXTINTOS</t>
  </si>
  <si>
    <t>LP-03 IMPRESIÓN DE AVISOS Y PUBLICACIONES EN DIARIOS DE AMPLIA CIRCULACIÓN A NIVEL PAÍS, RUEDAS DE NEGOCIOS PARA COMERCIALIZACIÓN DE INMUEBLES SOCIALES. EN PROCESO</t>
  </si>
  <si>
    <t>LP-01 GASTOS HONORARIOS ASESORIAS EXTINTAS</t>
  </si>
  <si>
    <t>LP-01 GASTOS HONORARIOS ASESORIAS Y ESTUDIOS ESPECIALIZADOS DE INSPECCION Y VIGILANCIA (HONORARIOS AUDITORIAS)</t>
  </si>
  <si>
    <t>LP-01 GASTOS HONORARIOS JURIDICOS EXTINTOS</t>
  </si>
  <si>
    <t>LP-01 GASTOS HONORARIOS JURIDICOS EN PROCESO</t>
  </si>
  <si>
    <t>LP-07 TRANSPORTE DE MERCANCIAS QUE SON INVENTARIOS DE LAS SOCIEDADES Y QUE EN EL MOMENTO NO TIENE FLUJO DE CAJA PARA ASUMIR DICHO GASTO</t>
  </si>
  <si>
    <t>LP-07 GASTOS DE BODEGAJE PARA LAS SOCIEDADES Y  ESTABLECIMIENTOS DE COMERCIO</t>
  </si>
  <si>
    <t>LP-01 HONORARIOS POR DIAGNOSTICOS INICIALES CON CARGO AL FRISCO CUANDO LAS SOCIEDADES NO TIENEN FLUJO DE CAJA</t>
  </si>
  <si>
    <t>LP-07 EMBALAJE Y ACARREOS DE MERCANCIAS QUE SON INVENTARIOS DE LAS SOCIEDADES Y QUE EN EL MOMENTO NO TIENE FLUJO DE CAJA PARA ASUMIR DICHO GASTO</t>
  </si>
  <si>
    <t>LP-01 HONORARIOS ESTUDIOS DE BANCA DE INVERSIÓN</t>
  </si>
  <si>
    <t>SERVICIO DE SEGURIDAD Y VIGILANCIA</t>
  </si>
  <si>
    <t>LP-33 PAZ -SERVICIOS DE SEGURIDAD Y VIGILANCIA</t>
  </si>
  <si>
    <t>A-2-0-4-10-04</t>
  </si>
  <si>
    <t>ARRENDAMIENTO, ALMACENAMIENTO Y BODEGAJE DE BIENES</t>
  </si>
  <si>
    <t>LP-07 PAZ-ARRENDAMIENTO, ALMACENAMIENTO Y BODEGAJE DE BIENES</t>
  </si>
  <si>
    <t>A-1-0-2-10-01</t>
  </si>
  <si>
    <t>LP-10 PAZ -NÓMINA TEMPORAL</t>
  </si>
  <si>
    <t>ALIMENTACIÓN</t>
  </si>
  <si>
    <t>LP-16 PAZ - VIÁTICOS</t>
  </si>
  <si>
    <t>ALOJAMIENTO</t>
  </si>
  <si>
    <t>TRANSPORTE AEREO</t>
  </si>
  <si>
    <t>OTROS GASTOS POR ADQUISICION DE SERVICIOS</t>
  </si>
  <si>
    <t xml:space="preserve">LP-40 PAZ  PRESTACION DE SERVICIOS PARA FUNDICIÓN, TRANSPORTE, COMERCIALIZACIALIZACIÓN DE ORO Y SERVICIOS CONEXOS, SERVICIOS DE TRANSPORTE Y DESALOJOS, TRANSPORTE, CUSTODIA, MANUTENCIÓN, CUIDADOS, MARCAJE, SOSTENIMIENTO, PESAJE Y </t>
  </si>
  <si>
    <t>HONORARIOS AVALUOS</t>
  </si>
  <si>
    <t>LP-01  PAZ AVALUO DE BIENES</t>
  </si>
  <si>
    <t>GASTOS IMPREVISTOS</t>
  </si>
  <si>
    <t>LP-02 PAZ GASTOS COMERCIALIZACIÓN DE BIENES</t>
  </si>
  <si>
    <t>ADMINISTRACIÓN DE PORTAFOLIO</t>
  </si>
  <si>
    <t>LP-20 PAZ ADMINISTRACIÓN PORTAFOLIO</t>
  </si>
  <si>
    <t>HONORARIOS ASESORIA ADMINISTRATIVA</t>
  </si>
  <si>
    <t>LP-01 SAI REMOCION DE EMBARCACIONES</t>
  </si>
  <si>
    <t>SOFTWARE</t>
  </si>
  <si>
    <t>LP-11 ADQUISICIÓN SOFTWARE</t>
  </si>
  <si>
    <t>LP-01 HONORARIOS ASESORIAS</t>
  </si>
  <si>
    <t>A-2-0-4-23-01</t>
  </si>
  <si>
    <t>SERVICIOS CALL CENTER</t>
  </si>
  <si>
    <t>LP-43 SERVICIOS CALL CENTER</t>
  </si>
  <si>
    <t>LP-11 COMPRA DE APLICACIONES Y LOS SERVICIOS QUE LA ACOMPAÑAN (SUSCRIPCIONES, LICENCIAMIENTO, RENOVACIÓN, SEGURIDAD Y TRANSFERENCIA DE CONOCIMIENTO, ENTRE OTROS)</t>
  </si>
  <si>
    <t>HARDWARE</t>
  </si>
  <si>
    <t>LP-25 COMPRA DE INFRAESTRUCTURA Y LOS SERVICIOS QUE LA ACOMPAÑAN (REDES, COMUNICACIONES, SEGURIDAD, SOFTWARE BASE, SERVICIOS DE NUBE Y TRANSFERENCIA DE CONOCIMIENTO, ENTRE OTROS)</t>
  </si>
  <si>
    <t>A-2-0-4-10-01</t>
  </si>
  <si>
    <t>ARRENDAMIENTOS BIENES MUEBLES</t>
  </si>
  <si>
    <t>LP-14 ARRENDAMIENTO Y LOS SERVICIOS QUE LA ACOMPAÑAN, ENTRE OTROS</t>
  </si>
  <si>
    <t>MANTENIMIENTO DE SOFTWARE</t>
  </si>
  <si>
    <t>LP-01 HONORARIOS PERSONAL PARA PROYECTO OGI</t>
  </si>
  <si>
    <t>MANTENIMIENTO DE HARDWARE</t>
  </si>
  <si>
    <t>A-2-0-4-05-02</t>
  </si>
  <si>
    <t>MANTENIMIENTO DE BIENES MUEBLES, EQUIPOS Y ENSERES</t>
  </si>
  <si>
    <t>LP-23 MANTENIMIENTO DE EQUIPOS ADQUIRIDOS POR LA OFICINA</t>
  </si>
  <si>
    <t>OTROS GASTOS POR IMPRESOS Y PUBLICACIONES</t>
  </si>
  <si>
    <t>LP-03 IMPRESOS</t>
  </si>
  <si>
    <t>LP-11 SOFTWARE DE AUDITORIA</t>
  </si>
  <si>
    <t>MOBILIARIO Y ENSERES</t>
  </si>
  <si>
    <t>LP-26 ADQUISICIÓN DE MOBILIARIO (PUESTOS DETRABAJO, SILLAS, MESAS CAFETERIA Y SILLAS ) PARA LA SEDE PRINCIPAL Y SUS REGIONALES  - SAE</t>
  </si>
  <si>
    <t>A-2-0-4-02-10</t>
  </si>
  <si>
    <t>OTROS ENSERES, MUEBLES  Y EQUIPO DE OFICINA</t>
  </si>
  <si>
    <t>LP-26 COMPRA ELECTRODOMESTICOS Y APARATOS ELECTRÓNICOS  PARA  EL FUNCIONAMIENTO DE LA SEDE PRINCIPAL Y SUS REGIONALES</t>
  </si>
  <si>
    <t>A-2-0-4-04-01</t>
  </si>
  <si>
    <t>COMBUSTIBLE Y LUBRICANTES</t>
  </si>
  <si>
    <t>LP-27 SUMINISTRO DE COMBUSTIBLE PARQUE AUTOMOTOR AL SERVICIO DE LA SAE MAS ACPM PLANTA ELECTRICA</t>
  </si>
  <si>
    <t>A-2-0-4-04-09</t>
  </si>
  <si>
    <t>ELEMENTOS DE FERRETERIA</t>
  </si>
  <si>
    <t>LP-28 SUMINISTRO DE HERRAMIENTAS, ELEMENTOS DE FERRETERIA, MATERIALES ELECTRICOS, ELECTRONICOS, MATERIALES DE CONSTRUCCION Y ELEMENTOS OCASIONALES NECESARIOS PARA EL FUNCIONAMIENTO DE SAE</t>
  </si>
  <si>
    <t>A-2-0-4-04-15</t>
  </si>
  <si>
    <t>PAPELERIA, UTILES DE ESCRITORIO Y OFICINA</t>
  </si>
  <si>
    <t>LP-29 PAPELERIA, UTILES DE ESCRITORIO, EQUIPOS DE OFICINA, ELEMENTOS TECNOLOGICOS, TONER Y PRODUCTOS OCASIONALES Y ADQUISICION CAJAS, CARPETAS, GANCHOS Y ROTULOS</t>
  </si>
  <si>
    <t>LP-30 MANTENIMIENTO Y ADQUISICIÓN DE PURIFICADORES DE AGUA PARA LA SEDE PRINCIPAL, BODEGA Y REGIONALES - SAE</t>
  </si>
  <si>
    <t>A-2-0-4-05-06</t>
  </si>
  <si>
    <t>MANTENIMIENTO EQUIPO DE NAVEGACION Y TRANSPORTE</t>
  </si>
  <si>
    <t>LP-31 MANTENIMIENTO  PREVENTIVO Y CORRECTIVO CON SUMINISTRO DE REPUESTOS ORIGINALES Y MANO DE OBRA PARA LOS VEHÍCULOS</t>
  </si>
  <si>
    <t>SERVICIO DE ASEO Y CAFETERIA</t>
  </si>
  <si>
    <t>LP-32 CONTRATAR EL SERVICIO INTEGRAL DE ASEO, CAFETERIA Y MANTENIMIENTO  PARA LAS SEDE PRINCIPAL, BODEGA Y SUS REGIONALES -  SAE</t>
  </si>
  <si>
    <t>LP-33 CONTRATAR EL SERVICIO DE VIGILANCIA Y SEGURIDAD PRIVADA INCLUIDO MEDIOS TECNOLOGICOS. RECURSOS SAE</t>
  </si>
  <si>
    <t>A-2-0-4-06-02</t>
  </si>
  <si>
    <t>CORREO</t>
  </si>
  <si>
    <t>LP-34 SERVICIO DE ENVIO Y ENTREGA DE CORRRESPONDENCIA 4-72 Y MENSAJERIA ESPECIALIZADA - SAE</t>
  </si>
  <si>
    <t>A-2-0-4-07-05</t>
  </si>
  <si>
    <t>SUSCRIPCIONES</t>
  </si>
  <si>
    <t>LP-35 SUSCRIPCIONES ESPECIALIZADAS (LEGIS CONSTRUDATA Y ACTUALIZACIONES JURIDICAS, FINANCIERA Y TALENTO HUMANO) - SAE</t>
  </si>
  <si>
    <t>A-2-0-4-07-03</t>
  </si>
  <si>
    <t>REPRODUCCIÓN Y FOTOCOPIADO</t>
  </si>
  <si>
    <t>LP-36 CONTRATAR OUTSOURCING REPRODUCCIÓN Y FOTOCOPIADO  - SAE</t>
  </si>
  <si>
    <t>A-2-0-4-09-05</t>
  </si>
  <si>
    <t>SEGURO DE INFIDILIDAD Y RIESGOS FINANCIEROS</t>
  </si>
  <si>
    <t>LP-15 PAGO PRIMA POLIZA SEGURO DE INFIDELIDAD Y RIESGOS FINANCIEROS  - SAE</t>
  </si>
  <si>
    <t>SEGURO RESPONSABILIDAD CIVIL</t>
  </si>
  <si>
    <t>LP-15 PAGO PRIMA POLIZA  SEGURO RESPONSABILIDAD CIVIL - SAE</t>
  </si>
  <si>
    <t>A-2-0-4-09-01</t>
  </si>
  <si>
    <t>SEGUROS DIRECTORES Y ADMINISTRADORES</t>
  </si>
  <si>
    <t>LP-15 PAGO PRIMA POLIZA  SEGUROS DIRECTORES Y ADMINISTRADORES- SAE</t>
  </si>
  <si>
    <t>A-2-0-4-09-11</t>
  </si>
  <si>
    <t>SEGUROS GENERALES</t>
  </si>
  <si>
    <t>LP-15 SEGUROS MANEJO GLOBAL ENTIDADES ESTATALES PAGO PRIMA POLIZA  - SAE</t>
  </si>
  <si>
    <t>A-2-0-4-09-07</t>
  </si>
  <si>
    <t>SEGURO DE VEHICULOS</t>
  </si>
  <si>
    <t>LP-15 PAGO PRIMA POLIZA  SEGUROS VEHICULOS- SAE</t>
  </si>
  <si>
    <t>A-2-0-4-10-02</t>
  </si>
  <si>
    <t>ARRENDAMIENTOS BIENES INMUEBLES</t>
  </si>
  <si>
    <t>LP-37 ARRENDAMIENTO SEDE PRINCIPAL, BODEGA ARCHIVO Y REGIONALES - SAE</t>
  </si>
  <si>
    <t>A-2-0-4-04-23</t>
  </si>
  <si>
    <t>OTROS MATERIALES Y SUMINISTROS</t>
  </si>
  <si>
    <t>LP-26 OTROS MATERIALES Y SUMNISTROS</t>
  </si>
  <si>
    <t>LP-22 ORGANIZACIÓN Y ESTANTERIA ARCHIVO (Tablas de retenciòn)</t>
  </si>
  <si>
    <t>LP-01 ASESORÍA, ACTUALIZACIÓN Y MANTENIMIENTO DE BIOMETRICOS</t>
  </si>
  <si>
    <t>LP-01 ESTUDIO DE SEGURIDAD A LOS ASPIRANTES A CONFORMAR EL BANCO DE HOJAS DE VIDA, APLICACIÓN DE PRUEBAS PSICOTÉCNICAS  Y DE COMPETENCIAS Y SERVICIOS DE ASESORÍA.</t>
  </si>
  <si>
    <t>LP-10 SERVICIOS TEMPORALES</t>
  </si>
  <si>
    <t>LP-11 LICENCIAS PARA PROGRAMAS GRÁFICOS EN DESARROLLO DE LAS PIEZAS DE COMUNICACIONES Y PRESENTACIONES, SE HACE NECESARIO CONTAR UNA LICENCIA ESPECIFICA EN EL EQUIPOS DE COMPUTO.</t>
  </si>
  <si>
    <t>A-2-0-4-04-03</t>
  </si>
  <si>
    <t>ELEMENTOS DE SEGURIDAD INDUSTRIAL</t>
  </si>
  <si>
    <t>LP-12 SEGURIDAD INDUSTRIAL</t>
  </si>
  <si>
    <t>MANTENIMIENTO DE BIENES INMUEBLES</t>
  </si>
  <si>
    <t>LP-13 PLAN DE SANEAMIENTO BÁSICO (FUMIGACIÓN Y CONTROL DE ROEDORES, ANÁLISIS FISICOQUÍMICO Y MICROBIOLÓGICO DE AGUA, ELEMENTOS DE CONTROL AMBIENTAL)</t>
  </si>
  <si>
    <t>LP-14 ARRENDAMIENTO SISTEMA BIOMETRICO</t>
  </si>
  <si>
    <t>A-2-0-4-09-06</t>
  </si>
  <si>
    <t>SEGURO DE VIDA</t>
  </si>
  <si>
    <t>LP-15 SEGUROS DE VIDA PLANTA PERSONAL DIRECTO SAE</t>
  </si>
  <si>
    <t>A-2-0-4-09-12</t>
  </si>
  <si>
    <t>SEGUROS EXEQUIALES</t>
  </si>
  <si>
    <t>LP-15 PÓLIZA DE SEGURO EXEQUIAL PLANTA PERSONAL DIRECTO SAE</t>
  </si>
  <si>
    <t>A-2-0-4-21-04</t>
  </si>
  <si>
    <t>SERVICIOS DE BIENESTAR SOCIAL</t>
  </si>
  <si>
    <t>LP-17 CONTRATACIÓN DE ACTIVIDADES DEL PLAN DE BIENESTAR SOCIAL LABORAL.  DEPORTE, CULTURA, RECREACIÓN, ESPARCIMIENTO E INTEGRACIÓN DE LA FAMILIA Y OTROS</t>
  </si>
  <si>
    <t>A-2-0-4-21-05</t>
  </si>
  <si>
    <t>SERVICIOS DE CAPACITACION</t>
  </si>
  <si>
    <t>LP-18 CONTRATACIÓN DE CAPACITACIÓN EXTERNA, PARA EL DESARROLLO DE LAS ACTIVIDADES DEL PLAN EMPRESARIAL DE CAPACITACIÓN.</t>
  </si>
  <si>
    <t>A-2-0-4-21-06</t>
  </si>
  <si>
    <t>SISTEMA DE GESTIÓN AMBIENTAL</t>
  </si>
  <si>
    <t>LP-13 GESTIÓN AMBIENTAL
CONTROL DE ASPECTOS E IMPACTOS AMBIENTALES, EDUCACIÓN AMBIENTAL, EVALUACIÓN DEL SISTEMA.</t>
  </si>
  <si>
    <t>A-2-0-4-21-07</t>
  </si>
  <si>
    <t>SISTEMA DE GESTIÓN DE SEGURIDAD Y SALUD EN EL TRABAJO</t>
  </si>
  <si>
    <t>LP-19 MEDICINA PREVENTIVA Y DEL TRABAJO</t>
  </si>
  <si>
    <t>A-2-0-4-21-11</t>
  </si>
  <si>
    <t>OTROS SERVICIOS PARA CAPACITACION, BIENESTAR SOCIAL Y ESTIMULOS</t>
  </si>
  <si>
    <t>LP-17 PRESTACIÓN DE SERVICIOS PARA EL DESARROLLO DE  ACCIONES LOGÍSTICAS, EVENTOS, ENCUENTROS, TALLERES, CAPACITACIONES QUE REQUIERA LA SAE.</t>
  </si>
  <si>
    <t>A-2-0-4-41-04</t>
  </si>
  <si>
    <t>ESTUDIOS E INVESTIGACIONES</t>
  </si>
  <si>
    <t>LP-45 ESTUDIOS DE CARGAS LABORALES</t>
  </si>
  <si>
    <t>LP-01 REVISORÍA FISCAL Y ASESORÍAS TIBUTARIAS</t>
  </si>
  <si>
    <t>HONORARIOS ASESORIAS JURIDICAS</t>
  </si>
  <si>
    <t>LP-01 CONSULTOR LABORAL</t>
  </si>
  <si>
    <t>SAE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</si>
</sst>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(&quot;$&quot;\ * #,##0.00_);_(&quot;$&quot;\ * \(#,##0.00\);_(&quot;$&quot;\ * &quot;-&quot;??_);_(@_)"/>
    <numFmt numFmtId="167" formatCode="_(&quot;$&quot;\ * #,##0_);_(&quot;$&quot;\ * \(#,##0\);_(&quot;$&quot;\ * &quot;-&quot;??_);_(@_)"/>
    <numFmt numFmtId="168" formatCode="_-* #,##0_-;\-* #,##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2"/>
      <color theme="1"/>
      <name val="Arial Narrow"/>
      <family val="2"/>
    </font>
    <font>
      <sz val="12"/>
      <color rgb="FFFF0000"/>
      <name val="Arial Narrow"/>
      <family val="2"/>
    </font>
    <font>
      <sz val="12"/>
      <color rgb="FF00B0F0"/>
      <name val="Arial Narrow"/>
      <family val="2"/>
    </font>
    <font>
      <b/>
      <sz val="12"/>
      <color rgb="FFFF0000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indexed="8"/>
      <name val="Arial"/>
      <family val="2"/>
    </font>
    <font>
      <b/>
      <sz val="7.2"/>
      <color indexed="8"/>
      <name val="Arial"/>
      <family val="2"/>
    </font>
    <font>
      <sz val="7"/>
      <color indexed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2" fillId="0" borderId="0">
      <alignment vertical="top"/>
    </xf>
    <xf numFmtId="43" fontId="12" fillId="0" borderId="0" applyFont="0" applyFill="0" applyBorder="0" applyAlignment="0" applyProtection="0">
      <alignment vertical="top"/>
    </xf>
  </cellStyleXfs>
  <cellXfs count="61">
    <xf numFmtId="0" fontId="0" fillId="0" borderId="0" xfId="0"/>
    <xf numFmtId="0" fontId="2" fillId="2" borderId="1" xfId="0" applyFont="1" applyFill="1" applyBorder="1" applyAlignment="1">
      <alignment horizontal="center"/>
    </xf>
    <xf numFmtId="165" fontId="3" fillId="3" borderId="0" xfId="1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165" fontId="3" fillId="5" borderId="0" xfId="1" applyNumberFormat="1" applyFont="1" applyFill="1" applyAlignment="1">
      <alignment horizontal="center"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165" fontId="6" fillId="0" borderId="1" xfId="1" applyNumberFormat="1" applyFont="1" applyBorder="1" applyAlignment="1">
      <alignment horizontal="right"/>
    </xf>
    <xf numFmtId="166" fontId="6" fillId="0" borderId="1" xfId="2" applyFont="1" applyBorder="1" applyAlignment="1">
      <alignment horizontal="right"/>
    </xf>
    <xf numFmtId="166" fontId="6" fillId="4" borderId="1" xfId="2" applyFont="1" applyFill="1" applyBorder="1" applyAlignment="1">
      <alignment horizontal="right"/>
    </xf>
    <xf numFmtId="0" fontId="6" fillId="0" borderId="1" xfId="0" applyFont="1" applyBorder="1" applyAlignment="1">
      <alignment horizontal="left" wrapText="1"/>
    </xf>
    <xf numFmtId="14" fontId="6" fillId="0" borderId="1" xfId="0" applyNumberFormat="1" applyFont="1" applyBorder="1" applyAlignment="1">
      <alignment horizontal="right" wrapText="1"/>
    </xf>
    <xf numFmtId="0" fontId="6" fillId="0" borderId="1" xfId="0" applyFont="1" applyBorder="1" applyAlignment="1">
      <alignment horizontal="left"/>
    </xf>
    <xf numFmtId="0" fontId="6" fillId="0" borderId="0" xfId="0" applyFont="1" applyAlignment="1">
      <alignment horizontal="center" vertical="center"/>
    </xf>
    <xf numFmtId="165" fontId="6" fillId="0" borderId="1" xfId="1" applyNumberFormat="1" applyFont="1" applyFill="1" applyBorder="1" applyAlignment="1">
      <alignment horizontal="right"/>
    </xf>
    <xf numFmtId="14" fontId="6" fillId="0" borderId="1" xfId="0" applyNumberFormat="1" applyFont="1" applyBorder="1" applyAlignment="1">
      <alignment horizontal="right"/>
    </xf>
    <xf numFmtId="0" fontId="6" fillId="0" borderId="0" xfId="0" applyFont="1"/>
    <xf numFmtId="0" fontId="8" fillId="0" borderId="0" xfId="0" applyFont="1"/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wrapText="1"/>
    </xf>
    <xf numFmtId="165" fontId="4" fillId="0" borderId="1" xfId="1" applyNumberFormat="1" applyFont="1" applyBorder="1"/>
    <xf numFmtId="167" fontId="4" fillId="0" borderId="1" xfId="2" applyNumberFormat="1" applyFont="1" applyBorder="1"/>
    <xf numFmtId="165" fontId="6" fillId="0" borderId="0" xfId="1" applyNumberFormat="1" applyFont="1"/>
    <xf numFmtId="0" fontId="4" fillId="0" borderId="0" xfId="0" applyFont="1" applyAlignment="1">
      <alignment horizontal="center"/>
    </xf>
    <xf numFmtId="167" fontId="6" fillId="0" borderId="0" xfId="0" applyNumberFormat="1" applyFont="1"/>
    <xf numFmtId="0" fontId="9" fillId="0" borderId="0" xfId="0" applyFont="1"/>
    <xf numFmtId="3" fontId="6" fillId="0" borderId="0" xfId="0" applyNumberFormat="1" applyFont="1"/>
    <xf numFmtId="0" fontId="7" fillId="0" borderId="0" xfId="0" applyFont="1"/>
    <xf numFmtId="164" fontId="6" fillId="0" borderId="0" xfId="1" applyFont="1"/>
    <xf numFmtId="166" fontId="6" fillId="0" borderId="0" xfId="0" applyNumberFormat="1" applyFont="1"/>
    <xf numFmtId="0" fontId="6" fillId="0" borderId="0" xfId="0" applyFont="1" applyFill="1"/>
    <xf numFmtId="0" fontId="13" fillId="0" borderId="0" xfId="3" applyFont="1" applyAlignment="1">
      <alignment horizontal="center" vertical="center" wrapText="1" readingOrder="1"/>
    </xf>
    <xf numFmtId="168" fontId="13" fillId="0" borderId="0" xfId="4" applyNumberFormat="1" applyFont="1" applyAlignment="1">
      <alignment horizontal="center" vertical="center" wrapText="1" readingOrder="1"/>
    </xf>
    <xf numFmtId="0" fontId="0" fillId="3" borderId="0" xfId="0" applyFill="1"/>
    <xf numFmtId="0" fontId="14" fillId="3" borderId="0" xfId="0" applyFont="1" applyFill="1" applyAlignment="1">
      <alignment vertical="top"/>
    </xf>
    <xf numFmtId="0" fontId="14" fillId="3" borderId="0" xfId="0" applyFont="1" applyFill="1" applyAlignment="1">
      <alignment vertical="top" wrapText="1" readingOrder="1"/>
    </xf>
    <xf numFmtId="3" fontId="14" fillId="3" borderId="0" xfId="0" applyNumberFormat="1" applyFont="1" applyFill="1" applyAlignment="1">
      <alignment vertical="top"/>
    </xf>
    <xf numFmtId="3" fontId="14" fillId="3" borderId="0" xfId="0" applyNumberFormat="1" applyFont="1" applyFill="1" applyAlignment="1">
      <alignment horizontal="right" vertical="top"/>
    </xf>
    <xf numFmtId="0" fontId="14" fillId="3" borderId="0" xfId="0" applyFont="1" applyFill="1" applyAlignment="1">
      <alignment vertical="top" wrapText="1"/>
    </xf>
    <xf numFmtId="3" fontId="0" fillId="0" borderId="0" xfId="0" applyNumberFormat="1"/>
    <xf numFmtId="0" fontId="0" fillId="6" borderId="0" xfId="0" applyFill="1"/>
    <xf numFmtId="0" fontId="14" fillId="6" borderId="0" xfId="0" applyFont="1" applyFill="1" applyAlignment="1">
      <alignment vertical="top"/>
    </xf>
    <xf numFmtId="0" fontId="14" fillId="6" borderId="0" xfId="0" applyFont="1" applyFill="1" applyAlignment="1">
      <alignment vertical="top" wrapText="1" readingOrder="1"/>
    </xf>
    <xf numFmtId="3" fontId="14" fillId="6" borderId="0" xfId="0" applyNumberFormat="1" applyFont="1" applyFill="1" applyAlignment="1">
      <alignment vertical="top"/>
    </xf>
    <xf numFmtId="3" fontId="14" fillId="6" borderId="0" xfId="0" applyNumberFormat="1" applyFont="1" applyFill="1" applyAlignment="1">
      <alignment horizontal="right" vertical="top"/>
    </xf>
    <xf numFmtId="0" fontId="14" fillId="6" borderId="0" xfId="0" applyFont="1" applyFill="1" applyAlignment="1">
      <alignment vertical="top" wrapText="1"/>
    </xf>
    <xf numFmtId="0" fontId="0" fillId="7" borderId="0" xfId="0" applyFill="1"/>
    <xf numFmtId="0" fontId="14" fillId="7" borderId="0" xfId="0" applyFont="1" applyFill="1" applyAlignment="1">
      <alignment vertical="top"/>
    </xf>
    <xf numFmtId="0" fontId="14" fillId="7" borderId="0" xfId="0" applyFont="1" applyFill="1" applyAlignment="1">
      <alignment vertical="top" wrapText="1" readingOrder="1"/>
    </xf>
    <xf numFmtId="3" fontId="14" fillId="7" borderId="0" xfId="0" applyNumberFormat="1" applyFont="1" applyFill="1" applyAlignment="1">
      <alignment vertical="top"/>
    </xf>
    <xf numFmtId="3" fontId="14" fillId="7" borderId="0" xfId="0" applyNumberFormat="1" applyFont="1" applyFill="1" applyAlignment="1">
      <alignment horizontal="right" vertical="top"/>
    </xf>
    <xf numFmtId="0" fontId="14" fillId="7" borderId="0" xfId="0" applyFont="1" applyFill="1" applyAlignment="1">
      <alignment vertical="top" wrapText="1"/>
    </xf>
    <xf numFmtId="0" fontId="0" fillId="8" borderId="0" xfId="0" applyFill="1"/>
    <xf numFmtId="0" fontId="14" fillId="8" borderId="0" xfId="0" applyFont="1" applyFill="1" applyAlignment="1">
      <alignment vertical="top"/>
    </xf>
    <xf numFmtId="0" fontId="14" fillId="8" borderId="0" xfId="0" applyFont="1" applyFill="1" applyAlignment="1">
      <alignment vertical="top" wrapText="1" readingOrder="1"/>
    </xf>
    <xf numFmtId="3" fontId="14" fillId="8" borderId="0" xfId="0" applyNumberFormat="1" applyFont="1" applyFill="1" applyAlignment="1">
      <alignment vertical="top"/>
    </xf>
    <xf numFmtId="3" fontId="14" fillId="8" borderId="0" xfId="0" applyNumberFormat="1" applyFont="1" applyFill="1" applyAlignment="1">
      <alignment horizontal="right" vertical="top"/>
    </xf>
    <xf numFmtId="0" fontId="14" fillId="8" borderId="0" xfId="0" applyFont="1" applyFill="1" applyAlignment="1">
      <alignment vertical="top" wrapText="1"/>
    </xf>
    <xf numFmtId="0" fontId="4" fillId="0" borderId="1" xfId="0" applyFont="1" applyBorder="1" applyAlignment="1">
      <alignment horizontal="center"/>
    </xf>
  </cellXfs>
  <cellStyles count="5">
    <cellStyle name="Millares" xfId="1" builtinId="3"/>
    <cellStyle name="Millares 4" xfId="4" xr:uid="{F85C4013-A9E6-41B9-A3AE-5DBC39D332F7}"/>
    <cellStyle name="Moneda" xfId="2" builtinId="4"/>
    <cellStyle name="Normal" xfId="0" builtinId="0"/>
    <cellStyle name="Normal 3" xfId="3" xr:uid="{693BA012-AEC9-45EC-B71D-2F3A87C336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2DD6F-DF3E-4E0B-9B55-B9A84731F783}">
  <dimension ref="A1:H151"/>
  <sheetViews>
    <sheetView zoomScale="120" zoomScaleNormal="120" workbookViewId="0">
      <selection activeCell="G7" sqref="G7"/>
    </sheetView>
  </sheetViews>
  <sheetFormatPr baseColWidth="10" defaultRowHeight="15" x14ac:dyDescent="0.25"/>
  <cols>
    <col min="4" max="4" width="33" customWidth="1"/>
    <col min="7" max="7" width="14.28515625" bestFit="1" customWidth="1"/>
  </cols>
  <sheetData>
    <row r="1" spans="1:8" ht="29.25" x14ac:dyDescent="0.25">
      <c r="A1" s="33" t="s">
        <v>119</v>
      </c>
      <c r="B1" s="33" t="s">
        <v>120</v>
      </c>
      <c r="C1" s="33" t="s">
        <v>121</v>
      </c>
      <c r="D1" s="33" t="s">
        <v>122</v>
      </c>
      <c r="E1" s="34" t="s">
        <v>123</v>
      </c>
      <c r="F1" s="34" t="s">
        <v>124</v>
      </c>
    </row>
    <row r="2" spans="1:8" ht="36" x14ac:dyDescent="0.25">
      <c r="A2" s="35" t="s">
        <v>125</v>
      </c>
      <c r="B2" s="36" t="s">
        <v>143</v>
      </c>
      <c r="C2" s="37" t="s">
        <v>144</v>
      </c>
      <c r="D2" s="37" t="s">
        <v>145</v>
      </c>
      <c r="E2" s="38">
        <v>136048269</v>
      </c>
      <c r="F2" s="39">
        <v>136048269</v>
      </c>
    </row>
    <row r="3" spans="1:8" ht="27" x14ac:dyDescent="0.25">
      <c r="A3" s="35" t="s">
        <v>125</v>
      </c>
      <c r="B3" s="36" t="s">
        <v>146</v>
      </c>
      <c r="C3" s="40" t="s">
        <v>147</v>
      </c>
      <c r="D3" s="37" t="s">
        <v>145</v>
      </c>
      <c r="E3" s="38">
        <v>5951731</v>
      </c>
      <c r="F3" s="39">
        <v>5951731</v>
      </c>
    </row>
    <row r="4" spans="1:8" ht="18" x14ac:dyDescent="0.25">
      <c r="A4" s="35" t="s">
        <v>400</v>
      </c>
      <c r="B4" s="36" t="s">
        <v>246</v>
      </c>
      <c r="C4" s="40" t="s">
        <v>283</v>
      </c>
      <c r="D4" s="40" t="s">
        <v>284</v>
      </c>
      <c r="E4" s="38">
        <v>409799870</v>
      </c>
      <c r="F4" s="39">
        <v>16350680</v>
      </c>
    </row>
    <row r="5" spans="1:8" ht="36" x14ac:dyDescent="0.25">
      <c r="A5" s="35" t="s">
        <v>125</v>
      </c>
      <c r="B5" s="36" t="s">
        <v>143</v>
      </c>
      <c r="C5" s="37" t="s">
        <v>144</v>
      </c>
      <c r="D5" s="37" t="s">
        <v>254</v>
      </c>
      <c r="E5" s="38">
        <v>24412348</v>
      </c>
      <c r="F5" s="39">
        <v>24412348</v>
      </c>
    </row>
    <row r="6" spans="1:8" ht="27" x14ac:dyDescent="0.25">
      <c r="A6" s="35" t="s">
        <v>125</v>
      </c>
      <c r="B6" s="36" t="s">
        <v>146</v>
      </c>
      <c r="C6" s="40" t="s">
        <v>147</v>
      </c>
      <c r="D6" s="37" t="s">
        <v>254</v>
      </c>
      <c r="E6" s="38">
        <v>204587652</v>
      </c>
      <c r="F6" s="39">
        <v>203987652</v>
      </c>
    </row>
    <row r="7" spans="1:8" ht="36" x14ac:dyDescent="0.25">
      <c r="A7" s="35" t="s">
        <v>400</v>
      </c>
      <c r="B7" s="36" t="s">
        <v>143</v>
      </c>
      <c r="C7" s="40" t="s">
        <v>289</v>
      </c>
      <c r="D7" s="40" t="s">
        <v>363</v>
      </c>
      <c r="E7" s="38">
        <v>24445900</v>
      </c>
      <c r="F7" s="39">
        <v>18000000</v>
      </c>
    </row>
    <row r="8" spans="1:8" ht="27" x14ac:dyDescent="0.25">
      <c r="A8" s="35" t="s">
        <v>125</v>
      </c>
      <c r="B8" s="36" t="s">
        <v>227</v>
      </c>
      <c r="C8" s="40" t="s">
        <v>228</v>
      </c>
      <c r="D8" s="37" t="s">
        <v>256</v>
      </c>
      <c r="E8" s="38">
        <v>0</v>
      </c>
      <c r="F8" s="39">
        <v>0</v>
      </c>
    </row>
    <row r="9" spans="1:8" ht="27" x14ac:dyDescent="0.25">
      <c r="A9" s="35" t="s">
        <v>400</v>
      </c>
      <c r="B9" s="36" t="s">
        <v>210</v>
      </c>
      <c r="C9" s="40" t="s">
        <v>398</v>
      </c>
      <c r="D9" s="40" t="s">
        <v>399</v>
      </c>
      <c r="E9" s="38">
        <v>62602088</v>
      </c>
      <c r="F9" s="39">
        <v>34680248</v>
      </c>
    </row>
    <row r="10" spans="1:8" ht="36" x14ac:dyDescent="0.25">
      <c r="A10" s="35" t="s">
        <v>125</v>
      </c>
      <c r="B10" s="36" t="s">
        <v>146</v>
      </c>
      <c r="C10" s="40" t="s">
        <v>147</v>
      </c>
      <c r="D10" s="37" t="s">
        <v>231</v>
      </c>
      <c r="E10" s="38">
        <f>157800000-14591129</f>
        <v>143208871</v>
      </c>
      <c r="F10" s="39">
        <v>140629999</v>
      </c>
      <c r="H10" s="41"/>
    </row>
    <row r="11" spans="1:8" ht="27" x14ac:dyDescent="0.25">
      <c r="A11" s="35" t="s">
        <v>125</v>
      </c>
      <c r="B11" s="36" t="s">
        <v>227</v>
      </c>
      <c r="C11" s="40" t="s">
        <v>228</v>
      </c>
      <c r="D11" s="37" t="s">
        <v>229</v>
      </c>
      <c r="E11" s="38">
        <v>0</v>
      </c>
      <c r="F11" s="39">
        <v>0</v>
      </c>
    </row>
    <row r="12" spans="1:8" ht="27" x14ac:dyDescent="0.25">
      <c r="A12" s="35" t="s">
        <v>125</v>
      </c>
      <c r="B12" s="36" t="s">
        <v>207</v>
      </c>
      <c r="C12" s="40" t="s">
        <v>208</v>
      </c>
      <c r="D12" s="37" t="s">
        <v>209</v>
      </c>
      <c r="E12" s="38">
        <v>2596282333</v>
      </c>
      <c r="F12" s="39">
        <v>1954957148</v>
      </c>
    </row>
    <row r="13" spans="1:8" ht="36" x14ac:dyDescent="0.25">
      <c r="A13" s="35" t="s">
        <v>125</v>
      </c>
      <c r="B13" s="36" t="s">
        <v>210</v>
      </c>
      <c r="C13" s="40" t="s">
        <v>211</v>
      </c>
      <c r="D13" s="37" t="s">
        <v>209</v>
      </c>
      <c r="E13" s="38">
        <v>279608158</v>
      </c>
      <c r="F13" s="39">
        <v>235423149</v>
      </c>
    </row>
    <row r="14" spans="1:8" ht="27" x14ac:dyDescent="0.25">
      <c r="A14" s="35" t="s">
        <v>125</v>
      </c>
      <c r="B14" s="36" t="s">
        <v>146</v>
      </c>
      <c r="C14" s="40" t="s">
        <v>147</v>
      </c>
      <c r="D14" s="37" t="s">
        <v>253</v>
      </c>
      <c r="E14" s="38">
        <v>48790000</v>
      </c>
      <c r="F14" s="39">
        <v>45220000</v>
      </c>
    </row>
    <row r="15" spans="1:8" ht="27" x14ac:dyDescent="0.25">
      <c r="A15" s="35" t="s">
        <v>125</v>
      </c>
      <c r="B15" s="36" t="s">
        <v>146</v>
      </c>
      <c r="C15" s="40" t="s">
        <v>147</v>
      </c>
      <c r="D15" s="37" t="s">
        <v>175</v>
      </c>
      <c r="E15" s="38">
        <v>306960634</v>
      </c>
      <c r="F15" s="39">
        <v>306960634</v>
      </c>
    </row>
    <row r="16" spans="1:8" ht="45" x14ac:dyDescent="0.25">
      <c r="A16" s="35" t="s">
        <v>400</v>
      </c>
      <c r="B16" s="36" t="s">
        <v>143</v>
      </c>
      <c r="C16" s="40" t="s">
        <v>289</v>
      </c>
      <c r="D16" s="40" t="s">
        <v>364</v>
      </c>
      <c r="E16" s="38">
        <v>235796592</v>
      </c>
      <c r="F16" s="39">
        <v>226877699</v>
      </c>
    </row>
    <row r="17" spans="1:6" ht="36" x14ac:dyDescent="0.25">
      <c r="A17" s="35" t="s">
        <v>125</v>
      </c>
      <c r="B17" s="36" t="s">
        <v>143</v>
      </c>
      <c r="C17" s="37" t="s">
        <v>144</v>
      </c>
      <c r="D17" s="37" t="s">
        <v>203</v>
      </c>
      <c r="E17" s="38">
        <v>29800000</v>
      </c>
      <c r="F17" s="39">
        <v>27383007</v>
      </c>
    </row>
    <row r="18" spans="1:6" ht="36" x14ac:dyDescent="0.25">
      <c r="A18" s="35" t="s">
        <v>125</v>
      </c>
      <c r="B18" s="36" t="s">
        <v>143</v>
      </c>
      <c r="C18" s="37" t="s">
        <v>144</v>
      </c>
      <c r="D18" s="37" t="s">
        <v>261</v>
      </c>
      <c r="E18" s="38">
        <v>20305724</v>
      </c>
      <c r="F18" s="39">
        <v>20305724</v>
      </c>
    </row>
    <row r="19" spans="1:6" ht="27" x14ac:dyDescent="0.25">
      <c r="A19" s="35" t="s">
        <v>125</v>
      </c>
      <c r="B19" s="36" t="s">
        <v>146</v>
      </c>
      <c r="C19" s="40" t="s">
        <v>147</v>
      </c>
      <c r="D19" s="37" t="s">
        <v>262</v>
      </c>
      <c r="E19" s="38">
        <v>495002075</v>
      </c>
      <c r="F19" s="39">
        <v>495000571</v>
      </c>
    </row>
    <row r="20" spans="1:6" ht="27" x14ac:dyDescent="0.25">
      <c r="A20" s="35" t="s">
        <v>125</v>
      </c>
      <c r="B20" s="36" t="s">
        <v>207</v>
      </c>
      <c r="C20" s="40" t="s">
        <v>208</v>
      </c>
      <c r="D20" s="37" t="s">
        <v>264</v>
      </c>
      <c r="E20" s="38">
        <v>124625000</v>
      </c>
      <c r="F20" s="39">
        <v>124625000</v>
      </c>
    </row>
    <row r="21" spans="1:6" ht="36" x14ac:dyDescent="0.25">
      <c r="A21" s="35" t="s">
        <v>125</v>
      </c>
      <c r="B21" s="36" t="s">
        <v>143</v>
      </c>
      <c r="C21" s="37" t="s">
        <v>144</v>
      </c>
      <c r="D21" s="37" t="s">
        <v>263</v>
      </c>
      <c r="E21" s="38">
        <v>44582997</v>
      </c>
      <c r="F21" s="39">
        <v>44582997</v>
      </c>
    </row>
    <row r="22" spans="1:6" ht="27" x14ac:dyDescent="0.25">
      <c r="A22" s="35" t="s">
        <v>125</v>
      </c>
      <c r="B22" s="36" t="s">
        <v>207</v>
      </c>
      <c r="C22" s="40" t="s">
        <v>208</v>
      </c>
      <c r="D22" s="37" t="s">
        <v>230</v>
      </c>
      <c r="E22" s="38">
        <v>0</v>
      </c>
      <c r="F22" s="39">
        <v>0</v>
      </c>
    </row>
    <row r="23" spans="1:6" ht="36" x14ac:dyDescent="0.25">
      <c r="A23" s="35" t="s">
        <v>400</v>
      </c>
      <c r="B23" s="36" t="s">
        <v>143</v>
      </c>
      <c r="C23" s="40" t="s">
        <v>289</v>
      </c>
      <c r="D23" s="40" t="s">
        <v>293</v>
      </c>
      <c r="E23" s="38">
        <v>7520800</v>
      </c>
      <c r="F23" s="39">
        <v>7520800</v>
      </c>
    </row>
    <row r="24" spans="1:6" ht="27" x14ac:dyDescent="0.25">
      <c r="A24" s="35" t="s">
        <v>125</v>
      </c>
      <c r="B24" s="36" t="s">
        <v>146</v>
      </c>
      <c r="C24" s="40" t="s">
        <v>147</v>
      </c>
      <c r="D24" s="37" t="s">
        <v>258</v>
      </c>
      <c r="E24" s="38">
        <v>0</v>
      </c>
      <c r="F24" s="39">
        <v>0</v>
      </c>
    </row>
    <row r="25" spans="1:6" ht="27" x14ac:dyDescent="0.25">
      <c r="A25" s="35" t="s">
        <v>125</v>
      </c>
      <c r="B25" s="36" t="s">
        <v>146</v>
      </c>
      <c r="C25" s="40" t="s">
        <v>147</v>
      </c>
      <c r="D25" s="37" t="s">
        <v>269</v>
      </c>
      <c r="E25" s="38">
        <v>328605000</v>
      </c>
      <c r="F25" s="39">
        <v>328605000</v>
      </c>
    </row>
    <row r="26" spans="1:6" ht="36" x14ac:dyDescent="0.25">
      <c r="A26" s="35" t="s">
        <v>125</v>
      </c>
      <c r="B26" s="36" t="s">
        <v>143</v>
      </c>
      <c r="C26" s="37" t="s">
        <v>144</v>
      </c>
      <c r="D26" s="37" t="s">
        <v>257</v>
      </c>
      <c r="E26" s="38">
        <v>0</v>
      </c>
      <c r="F26" s="39">
        <v>0</v>
      </c>
    </row>
    <row r="27" spans="1:6" ht="27" x14ac:dyDescent="0.25">
      <c r="A27" s="35" t="s">
        <v>125</v>
      </c>
      <c r="B27" s="36" t="s">
        <v>246</v>
      </c>
      <c r="C27" s="40" t="s">
        <v>247</v>
      </c>
      <c r="D27" s="37" t="s">
        <v>257</v>
      </c>
      <c r="E27" s="38">
        <v>0</v>
      </c>
      <c r="F27" s="39">
        <v>0</v>
      </c>
    </row>
    <row r="28" spans="1:6" ht="27" x14ac:dyDescent="0.25">
      <c r="A28" s="35" t="s">
        <v>125</v>
      </c>
      <c r="B28" s="36" t="s">
        <v>146</v>
      </c>
      <c r="C28" s="40" t="s">
        <v>147</v>
      </c>
      <c r="D28" s="37" t="s">
        <v>244</v>
      </c>
      <c r="E28" s="38">
        <v>17500000</v>
      </c>
      <c r="F28" s="39">
        <v>17500000</v>
      </c>
    </row>
    <row r="29" spans="1:6" ht="36" x14ac:dyDescent="0.25">
      <c r="A29" s="35" t="s">
        <v>400</v>
      </c>
      <c r="B29" s="36" t="s">
        <v>143</v>
      </c>
      <c r="C29" s="40" t="s">
        <v>289</v>
      </c>
      <c r="D29" s="40" t="s">
        <v>304</v>
      </c>
      <c r="E29" s="38">
        <v>1486502232</v>
      </c>
      <c r="F29" s="39">
        <v>1464637029</v>
      </c>
    </row>
    <row r="30" spans="1:6" ht="27" x14ac:dyDescent="0.25">
      <c r="A30" s="35" t="s">
        <v>125</v>
      </c>
      <c r="B30" s="36" t="s">
        <v>146</v>
      </c>
      <c r="C30" s="40" t="s">
        <v>147</v>
      </c>
      <c r="D30" s="37" t="s">
        <v>267</v>
      </c>
      <c r="E30" s="38">
        <v>106430888</v>
      </c>
      <c r="F30" s="39">
        <v>106430888</v>
      </c>
    </row>
    <row r="31" spans="1:6" ht="27" x14ac:dyDescent="0.25">
      <c r="A31" s="35" t="s">
        <v>125</v>
      </c>
      <c r="B31" s="36" t="s">
        <v>146</v>
      </c>
      <c r="C31" s="40" t="s">
        <v>147</v>
      </c>
      <c r="D31" s="37" t="s">
        <v>236</v>
      </c>
      <c r="E31" s="38">
        <v>130000000</v>
      </c>
      <c r="F31" s="39">
        <v>130000000</v>
      </c>
    </row>
    <row r="32" spans="1:6" ht="36" x14ac:dyDescent="0.25">
      <c r="A32" s="35" t="s">
        <v>125</v>
      </c>
      <c r="B32" s="36" t="s">
        <v>143</v>
      </c>
      <c r="C32" s="37" t="s">
        <v>144</v>
      </c>
      <c r="D32" s="37" t="s">
        <v>255</v>
      </c>
      <c r="E32" s="38">
        <v>16000000</v>
      </c>
      <c r="F32" s="39">
        <v>16000000</v>
      </c>
    </row>
    <row r="33" spans="1:7" ht="27" x14ac:dyDescent="0.25">
      <c r="A33" s="35" t="s">
        <v>125</v>
      </c>
      <c r="B33" s="36" t="s">
        <v>146</v>
      </c>
      <c r="C33" s="40" t="s">
        <v>147</v>
      </c>
      <c r="D33" s="37" t="s">
        <v>212</v>
      </c>
      <c r="E33" s="38">
        <v>24000000</v>
      </c>
      <c r="F33" s="39">
        <v>24000000</v>
      </c>
    </row>
    <row r="34" spans="1:7" ht="27" x14ac:dyDescent="0.25">
      <c r="A34" s="35" t="s">
        <v>125</v>
      </c>
      <c r="B34" s="36" t="s">
        <v>146</v>
      </c>
      <c r="C34" s="40" t="s">
        <v>147</v>
      </c>
      <c r="D34" s="37" t="s">
        <v>148</v>
      </c>
      <c r="E34" s="38">
        <v>130000000</v>
      </c>
      <c r="F34" s="39">
        <v>33320000</v>
      </c>
    </row>
    <row r="35" spans="1:7" ht="36" x14ac:dyDescent="0.25">
      <c r="A35" s="35" t="s">
        <v>400</v>
      </c>
      <c r="B35" s="36" t="s">
        <v>143</v>
      </c>
      <c r="C35" s="40" t="s">
        <v>289</v>
      </c>
      <c r="D35" s="40" t="s">
        <v>148</v>
      </c>
      <c r="E35" s="38">
        <v>456000000</v>
      </c>
      <c r="F35" s="39">
        <v>397639120</v>
      </c>
    </row>
    <row r="36" spans="1:7" ht="27" x14ac:dyDescent="0.25">
      <c r="A36" s="35" t="s">
        <v>125</v>
      </c>
      <c r="B36" s="36" t="s">
        <v>227</v>
      </c>
      <c r="C36" s="40" t="s">
        <v>228</v>
      </c>
      <c r="D36" s="37" t="s">
        <v>245</v>
      </c>
      <c r="E36" s="38">
        <v>2400000000</v>
      </c>
      <c r="F36" s="39">
        <v>2394630940</v>
      </c>
    </row>
    <row r="37" spans="1:7" ht="27" x14ac:dyDescent="0.25">
      <c r="A37" s="35" t="s">
        <v>125</v>
      </c>
      <c r="B37" s="36" t="s">
        <v>246</v>
      </c>
      <c r="C37" s="40" t="s">
        <v>247</v>
      </c>
      <c r="D37" s="37" t="s">
        <v>248</v>
      </c>
      <c r="E37" s="38">
        <v>974230283</v>
      </c>
      <c r="F37" s="39">
        <v>974230280</v>
      </c>
    </row>
    <row r="38" spans="1:7" ht="36" x14ac:dyDescent="0.25">
      <c r="A38" s="35" t="s">
        <v>400</v>
      </c>
      <c r="B38" s="36" t="s">
        <v>143</v>
      </c>
      <c r="C38" s="40" t="s">
        <v>289</v>
      </c>
      <c r="D38" s="40" t="s">
        <v>397</v>
      </c>
      <c r="E38" s="38">
        <v>574251983</v>
      </c>
      <c r="F38" s="39">
        <v>572816979</v>
      </c>
    </row>
    <row r="39" spans="1:7" ht="36" x14ac:dyDescent="0.25">
      <c r="A39" s="35" t="s">
        <v>400</v>
      </c>
      <c r="B39" s="36" t="s">
        <v>143</v>
      </c>
      <c r="C39" s="40" t="s">
        <v>289</v>
      </c>
      <c r="D39" s="40" t="s">
        <v>290</v>
      </c>
      <c r="E39" s="38">
        <v>100000000</v>
      </c>
      <c r="F39" s="39">
        <v>100000000</v>
      </c>
    </row>
    <row r="40" spans="1:7" ht="45" x14ac:dyDescent="0.25">
      <c r="A40" s="35" t="s">
        <v>400</v>
      </c>
      <c r="B40" s="36" t="s">
        <v>161</v>
      </c>
      <c r="C40" s="37" t="s">
        <v>162</v>
      </c>
      <c r="D40" s="40" t="s">
        <v>290</v>
      </c>
      <c r="E40" s="38">
        <v>19500000</v>
      </c>
      <c r="F40" s="39">
        <v>19500000</v>
      </c>
    </row>
    <row r="41" spans="1:7" ht="36" x14ac:dyDescent="0.25">
      <c r="A41" s="35" t="s">
        <v>125</v>
      </c>
      <c r="B41" s="36" t="s">
        <v>143</v>
      </c>
      <c r="C41" s="37" t="s">
        <v>144</v>
      </c>
      <c r="D41" s="37" t="s">
        <v>232</v>
      </c>
      <c r="E41" s="38">
        <v>0</v>
      </c>
      <c r="F41" s="39">
        <v>0</v>
      </c>
    </row>
    <row r="42" spans="1:7" ht="27" x14ac:dyDescent="0.25">
      <c r="A42" s="35" t="s">
        <v>125</v>
      </c>
      <c r="B42" s="36" t="s">
        <v>146</v>
      </c>
      <c r="C42" s="40" t="s">
        <v>147</v>
      </c>
      <c r="D42" s="37" t="s">
        <v>232</v>
      </c>
      <c r="E42" s="38">
        <v>8089828</v>
      </c>
      <c r="F42" s="39">
        <v>8089828</v>
      </c>
    </row>
    <row r="43" spans="1:7" ht="27" x14ac:dyDescent="0.25">
      <c r="A43" s="35" t="s">
        <v>125</v>
      </c>
      <c r="B43" s="36" t="s">
        <v>146</v>
      </c>
      <c r="C43" s="40" t="s">
        <v>147</v>
      </c>
      <c r="D43" s="37" t="s">
        <v>224</v>
      </c>
      <c r="E43" s="38">
        <v>0</v>
      </c>
      <c r="F43" s="39">
        <v>0</v>
      </c>
      <c r="G43" s="41">
        <f>SUM(E2:E43)</f>
        <v>11971441256</v>
      </c>
    </row>
    <row r="44" spans="1:7" ht="63" x14ac:dyDescent="0.25">
      <c r="A44" s="42" t="s">
        <v>125</v>
      </c>
      <c r="B44" s="43" t="s">
        <v>153</v>
      </c>
      <c r="C44" s="44" t="s">
        <v>154</v>
      </c>
      <c r="D44" s="44" t="s">
        <v>155</v>
      </c>
      <c r="E44" s="45">
        <v>1427268362</v>
      </c>
      <c r="F44" s="46">
        <v>1427268361</v>
      </c>
      <c r="G44" s="41">
        <f>SUM(E44:E53)</f>
        <v>12095495393</v>
      </c>
    </row>
    <row r="45" spans="1:7" ht="63" x14ac:dyDescent="0.25">
      <c r="A45" s="42" t="s">
        <v>125</v>
      </c>
      <c r="B45" s="43" t="s">
        <v>156</v>
      </c>
      <c r="C45" s="44" t="s">
        <v>157</v>
      </c>
      <c r="D45" s="44" t="s">
        <v>155</v>
      </c>
      <c r="E45" s="45">
        <v>4659887568</v>
      </c>
      <c r="F45" s="46">
        <v>4464683616</v>
      </c>
    </row>
    <row r="46" spans="1:7" ht="63" x14ac:dyDescent="0.25">
      <c r="A46" s="42" t="s">
        <v>125</v>
      </c>
      <c r="B46" s="43" t="s">
        <v>156</v>
      </c>
      <c r="C46" s="44" t="s">
        <v>157</v>
      </c>
      <c r="D46" s="44" t="s">
        <v>237</v>
      </c>
      <c r="E46" s="45">
        <v>0</v>
      </c>
      <c r="F46" s="46">
        <v>0</v>
      </c>
    </row>
    <row r="47" spans="1:7" ht="27" x14ac:dyDescent="0.25">
      <c r="A47" s="42" t="s">
        <v>125</v>
      </c>
      <c r="B47" s="43" t="s">
        <v>239</v>
      </c>
      <c r="C47" s="47" t="s">
        <v>240</v>
      </c>
      <c r="D47" s="44" t="s">
        <v>237</v>
      </c>
      <c r="E47" s="45">
        <v>185879667</v>
      </c>
      <c r="F47" s="46">
        <v>185879667</v>
      </c>
    </row>
    <row r="48" spans="1:7" ht="45" x14ac:dyDescent="0.25">
      <c r="A48" s="42" t="s">
        <v>125</v>
      </c>
      <c r="B48" s="43" t="s">
        <v>129</v>
      </c>
      <c r="C48" s="44" t="s">
        <v>130</v>
      </c>
      <c r="D48" s="44" t="s">
        <v>237</v>
      </c>
      <c r="E48" s="45">
        <v>46300944</v>
      </c>
      <c r="F48" s="46">
        <v>46300944</v>
      </c>
    </row>
    <row r="49" spans="1:7" ht="63" x14ac:dyDescent="0.25">
      <c r="A49" s="42" t="s">
        <v>125</v>
      </c>
      <c r="B49" s="43" t="s">
        <v>153</v>
      </c>
      <c r="C49" s="44" t="s">
        <v>154</v>
      </c>
      <c r="D49" s="44" t="s">
        <v>237</v>
      </c>
      <c r="E49" s="45">
        <v>0</v>
      </c>
      <c r="F49" s="46">
        <v>0</v>
      </c>
    </row>
    <row r="50" spans="1:7" ht="45" x14ac:dyDescent="0.25">
      <c r="A50" s="42" t="s">
        <v>125</v>
      </c>
      <c r="B50" s="43" t="s">
        <v>126</v>
      </c>
      <c r="C50" s="44" t="s">
        <v>127</v>
      </c>
      <c r="D50" s="44" t="s">
        <v>237</v>
      </c>
      <c r="E50" s="45">
        <v>10289099</v>
      </c>
      <c r="F50" s="46">
        <v>10289099</v>
      </c>
    </row>
    <row r="51" spans="1:7" ht="27" x14ac:dyDescent="0.25">
      <c r="A51" s="42" t="s">
        <v>125</v>
      </c>
      <c r="B51" s="43" t="s">
        <v>241</v>
      </c>
      <c r="C51" s="47" t="s">
        <v>242</v>
      </c>
      <c r="D51" s="44" t="s">
        <v>237</v>
      </c>
      <c r="E51" s="45">
        <v>41306593</v>
      </c>
      <c r="F51" s="46">
        <v>41306593</v>
      </c>
    </row>
    <row r="52" spans="1:7" ht="18" x14ac:dyDescent="0.25">
      <c r="A52" s="42" t="s">
        <v>400</v>
      </c>
      <c r="B52" s="43" t="s">
        <v>239</v>
      </c>
      <c r="C52" s="47" t="s">
        <v>285</v>
      </c>
      <c r="D52" s="47" t="s">
        <v>286</v>
      </c>
      <c r="E52" s="45">
        <v>4275232358</v>
      </c>
      <c r="F52" s="46">
        <v>4275232358</v>
      </c>
    </row>
    <row r="53" spans="1:7" ht="36" x14ac:dyDescent="0.25">
      <c r="A53" s="42" t="s">
        <v>400</v>
      </c>
      <c r="B53" s="43" t="s">
        <v>129</v>
      </c>
      <c r="C53" s="44" t="s">
        <v>281</v>
      </c>
      <c r="D53" s="47" t="s">
        <v>286</v>
      </c>
      <c r="E53" s="45">
        <v>1449330802</v>
      </c>
      <c r="F53" s="46">
        <v>1064921716</v>
      </c>
    </row>
    <row r="54" spans="1:7" ht="45" x14ac:dyDescent="0.25">
      <c r="A54" s="48" t="s">
        <v>125</v>
      </c>
      <c r="B54" s="49" t="s">
        <v>159</v>
      </c>
      <c r="C54" s="50" t="s">
        <v>160</v>
      </c>
      <c r="D54" s="50" t="s">
        <v>260</v>
      </c>
      <c r="E54" s="51">
        <v>0</v>
      </c>
      <c r="F54" s="52">
        <v>0</v>
      </c>
      <c r="G54" s="41">
        <f>SUM(E54:E58)</f>
        <v>395935732</v>
      </c>
    </row>
    <row r="55" spans="1:7" ht="45" x14ac:dyDescent="0.25">
      <c r="A55" s="48" t="s">
        <v>400</v>
      </c>
      <c r="B55" s="49" t="s">
        <v>149</v>
      </c>
      <c r="C55" s="50" t="s">
        <v>309</v>
      </c>
      <c r="D55" s="53" t="s">
        <v>310</v>
      </c>
      <c r="E55" s="51">
        <v>50000000</v>
      </c>
      <c r="F55" s="52">
        <v>50000000</v>
      </c>
    </row>
    <row r="56" spans="1:7" ht="45" x14ac:dyDescent="0.25">
      <c r="A56" s="48" t="s">
        <v>125</v>
      </c>
      <c r="B56" s="49" t="s">
        <v>149</v>
      </c>
      <c r="C56" s="50" t="s">
        <v>150</v>
      </c>
      <c r="D56" s="50" t="s">
        <v>152</v>
      </c>
      <c r="E56" s="51">
        <v>156450000</v>
      </c>
      <c r="F56" s="52">
        <v>156450000</v>
      </c>
    </row>
    <row r="57" spans="1:7" ht="45" x14ac:dyDescent="0.25">
      <c r="A57" s="48" t="s">
        <v>125</v>
      </c>
      <c r="B57" s="49" t="s">
        <v>149</v>
      </c>
      <c r="C57" s="50" t="s">
        <v>150</v>
      </c>
      <c r="D57" s="50" t="s">
        <v>158</v>
      </c>
      <c r="E57" s="51">
        <v>0</v>
      </c>
      <c r="F57" s="52">
        <v>0</v>
      </c>
    </row>
    <row r="58" spans="1:7" ht="45" x14ac:dyDescent="0.25">
      <c r="A58" s="48" t="s">
        <v>125</v>
      </c>
      <c r="B58" s="49" t="s">
        <v>159</v>
      </c>
      <c r="C58" s="50" t="s">
        <v>160</v>
      </c>
      <c r="D58" s="50" t="s">
        <v>158</v>
      </c>
      <c r="E58" s="51">
        <v>189485732</v>
      </c>
      <c r="F58" s="52">
        <v>189485732</v>
      </c>
    </row>
    <row r="59" spans="1:7" ht="45" x14ac:dyDescent="0.25">
      <c r="A59" s="54" t="s">
        <v>125</v>
      </c>
      <c r="B59" s="55" t="s">
        <v>216</v>
      </c>
      <c r="C59" s="56" t="s">
        <v>217</v>
      </c>
      <c r="D59" s="56" t="s">
        <v>218</v>
      </c>
      <c r="E59" s="57">
        <v>114100000</v>
      </c>
      <c r="F59" s="58">
        <v>0</v>
      </c>
      <c r="G59" s="41">
        <f>SUM(E59:E60)</f>
        <v>163000000</v>
      </c>
    </row>
    <row r="60" spans="1:7" ht="36" x14ac:dyDescent="0.25">
      <c r="A60" s="54" t="s">
        <v>125</v>
      </c>
      <c r="B60" s="55" t="s">
        <v>213</v>
      </c>
      <c r="C60" s="56" t="s">
        <v>214</v>
      </c>
      <c r="D60" s="56" t="s">
        <v>215</v>
      </c>
      <c r="E60" s="57">
        <v>48900000</v>
      </c>
      <c r="F60" s="58">
        <v>0</v>
      </c>
    </row>
    <row r="61" spans="1:7" ht="45" x14ac:dyDescent="0.25">
      <c r="A61" s="35" t="s">
        <v>125</v>
      </c>
      <c r="B61" s="36" t="s">
        <v>126</v>
      </c>
      <c r="C61" s="37" t="s">
        <v>127</v>
      </c>
      <c r="D61" s="37" t="s">
        <v>220</v>
      </c>
      <c r="E61" s="38">
        <v>3669281119</v>
      </c>
      <c r="F61" s="39">
        <v>3646268497</v>
      </c>
      <c r="G61" s="41">
        <f>SUM(E61:E62)</f>
        <v>5148868439</v>
      </c>
    </row>
    <row r="62" spans="1:7" ht="45" x14ac:dyDescent="0.25">
      <c r="A62" s="35" t="s">
        <v>125</v>
      </c>
      <c r="B62" s="36" t="s">
        <v>129</v>
      </c>
      <c r="C62" s="37" t="s">
        <v>130</v>
      </c>
      <c r="D62" s="37" t="s">
        <v>219</v>
      </c>
      <c r="E62" s="38">
        <v>1479587320</v>
      </c>
      <c r="F62" s="39">
        <v>1467096549</v>
      </c>
    </row>
    <row r="63" spans="1:7" ht="45" x14ac:dyDescent="0.25">
      <c r="A63" s="54" t="s">
        <v>125</v>
      </c>
      <c r="B63" s="55" t="s">
        <v>126</v>
      </c>
      <c r="C63" s="56" t="s">
        <v>127</v>
      </c>
      <c r="D63" s="56" t="s">
        <v>221</v>
      </c>
      <c r="E63" s="57">
        <v>300170000</v>
      </c>
      <c r="F63" s="58">
        <v>235123743</v>
      </c>
      <c r="G63" s="41">
        <f>SUM(E63:E64)</f>
        <v>548000000</v>
      </c>
    </row>
    <row r="64" spans="1:7" ht="45" x14ac:dyDescent="0.25">
      <c r="A64" s="54" t="s">
        <v>125</v>
      </c>
      <c r="B64" s="55" t="s">
        <v>129</v>
      </c>
      <c r="C64" s="56" t="s">
        <v>130</v>
      </c>
      <c r="D64" s="56" t="s">
        <v>222</v>
      </c>
      <c r="E64" s="57">
        <v>247830000</v>
      </c>
      <c r="F64" s="58">
        <v>52181324</v>
      </c>
    </row>
    <row r="65" spans="1:7" ht="63" x14ac:dyDescent="0.25">
      <c r="A65" s="35" t="s">
        <v>125</v>
      </c>
      <c r="B65" s="36" t="s">
        <v>225</v>
      </c>
      <c r="C65" s="37" t="s">
        <v>226</v>
      </c>
      <c r="D65" s="37" t="s">
        <v>233</v>
      </c>
      <c r="E65" s="38">
        <v>11988177932</v>
      </c>
      <c r="F65" s="39">
        <v>11910201076</v>
      </c>
      <c r="G65" s="41">
        <f>SUM(E65:E69)</f>
        <v>12488955118</v>
      </c>
    </row>
    <row r="66" spans="1:7" ht="63" x14ac:dyDescent="0.25">
      <c r="A66" s="35" t="s">
        <v>125</v>
      </c>
      <c r="B66" s="36" t="s">
        <v>225</v>
      </c>
      <c r="C66" s="37" t="s">
        <v>226</v>
      </c>
      <c r="D66" s="37" t="s">
        <v>268</v>
      </c>
      <c r="E66" s="38">
        <v>0</v>
      </c>
      <c r="F66" s="39">
        <v>0</v>
      </c>
    </row>
    <row r="67" spans="1:7" ht="63" x14ac:dyDescent="0.25">
      <c r="A67" s="35" t="s">
        <v>125</v>
      </c>
      <c r="B67" s="36" t="s">
        <v>225</v>
      </c>
      <c r="C67" s="37" t="s">
        <v>226</v>
      </c>
      <c r="D67" s="37" t="s">
        <v>266</v>
      </c>
      <c r="E67" s="38">
        <v>0</v>
      </c>
      <c r="F67" s="39">
        <v>0</v>
      </c>
    </row>
    <row r="68" spans="1:7" ht="54" x14ac:dyDescent="0.25">
      <c r="A68" s="35" t="s">
        <v>400</v>
      </c>
      <c r="B68" s="36" t="s">
        <v>272</v>
      </c>
      <c r="C68" s="37" t="s">
        <v>273</v>
      </c>
      <c r="D68" s="40" t="s">
        <v>274</v>
      </c>
      <c r="E68" s="38">
        <v>500777186</v>
      </c>
      <c r="F68" s="39">
        <v>13965740</v>
      </c>
    </row>
    <row r="69" spans="1:7" ht="63" x14ac:dyDescent="0.25">
      <c r="A69" s="35" t="s">
        <v>125</v>
      </c>
      <c r="B69" s="36" t="s">
        <v>225</v>
      </c>
      <c r="C69" s="37" t="s">
        <v>226</v>
      </c>
      <c r="D69" s="37" t="s">
        <v>265</v>
      </c>
      <c r="E69" s="38">
        <v>0</v>
      </c>
      <c r="F69" s="39">
        <v>0</v>
      </c>
    </row>
    <row r="70" spans="1:7" ht="45" x14ac:dyDescent="0.25">
      <c r="A70" s="54" t="s">
        <v>125</v>
      </c>
      <c r="B70" s="55" t="s">
        <v>126</v>
      </c>
      <c r="C70" s="56" t="s">
        <v>127</v>
      </c>
      <c r="D70" s="56" t="s">
        <v>234</v>
      </c>
      <c r="E70" s="57">
        <v>2083628513</v>
      </c>
      <c r="F70" s="58">
        <v>1780448432</v>
      </c>
      <c r="G70" s="41">
        <f>SUM(E70)</f>
        <v>2083628513</v>
      </c>
    </row>
    <row r="71" spans="1:7" ht="45" x14ac:dyDescent="0.25">
      <c r="A71" s="35" t="s">
        <v>125</v>
      </c>
      <c r="B71" s="36" t="s">
        <v>129</v>
      </c>
      <c r="C71" s="37" t="s">
        <v>130</v>
      </c>
      <c r="D71" s="37" t="s">
        <v>235</v>
      </c>
      <c r="E71" s="38">
        <v>145000000</v>
      </c>
      <c r="F71" s="39">
        <v>143064593</v>
      </c>
      <c r="G71" s="41">
        <f>+E71</f>
        <v>145000000</v>
      </c>
    </row>
    <row r="72" spans="1:7" ht="18" x14ac:dyDescent="0.25">
      <c r="A72" s="54" t="s">
        <v>400</v>
      </c>
      <c r="B72" s="55" t="s">
        <v>275</v>
      </c>
      <c r="C72" s="59" t="s">
        <v>28</v>
      </c>
      <c r="D72" s="59" t="s">
        <v>276</v>
      </c>
      <c r="E72" s="57">
        <f>736851377-54764373</f>
        <v>682087004</v>
      </c>
      <c r="F72" s="58">
        <v>72414061</v>
      </c>
      <c r="G72" s="41">
        <f>SUM(E72:E74)</f>
        <v>3730895101</v>
      </c>
    </row>
    <row r="73" spans="1:7" ht="18" x14ac:dyDescent="0.25">
      <c r="A73" s="54" t="s">
        <v>400</v>
      </c>
      <c r="B73" s="55" t="s">
        <v>275</v>
      </c>
      <c r="C73" s="59" t="s">
        <v>28</v>
      </c>
      <c r="D73" s="59" t="s">
        <v>365</v>
      </c>
      <c r="E73" s="57">
        <v>3048808097</v>
      </c>
      <c r="F73" s="58">
        <v>2595336153</v>
      </c>
    </row>
    <row r="74" spans="1:7" ht="18" x14ac:dyDescent="0.25">
      <c r="A74" s="54" t="s">
        <v>400</v>
      </c>
      <c r="B74" s="55" t="s">
        <v>275</v>
      </c>
      <c r="C74" s="59" t="s">
        <v>28</v>
      </c>
      <c r="D74" s="59" t="s">
        <v>365</v>
      </c>
      <c r="E74" s="57">
        <v>0</v>
      </c>
      <c r="F74" s="58">
        <v>0</v>
      </c>
    </row>
    <row r="75" spans="1:7" x14ac:dyDescent="0.25">
      <c r="A75" s="35" t="s">
        <v>400</v>
      </c>
      <c r="B75" s="36" t="s">
        <v>131</v>
      </c>
      <c r="C75" s="40" t="s">
        <v>291</v>
      </c>
      <c r="D75" s="40" t="s">
        <v>292</v>
      </c>
      <c r="E75" s="38">
        <v>0</v>
      </c>
      <c r="F75" s="39">
        <v>0</v>
      </c>
      <c r="G75" s="41">
        <f>SUM(E75:E79)</f>
        <v>1445495076</v>
      </c>
    </row>
    <row r="76" spans="1:7" ht="45" x14ac:dyDescent="0.25">
      <c r="A76" s="35" t="s">
        <v>400</v>
      </c>
      <c r="B76" s="36" t="s">
        <v>131</v>
      </c>
      <c r="C76" s="40" t="s">
        <v>291</v>
      </c>
      <c r="D76" s="40" t="s">
        <v>297</v>
      </c>
      <c r="E76" s="38">
        <v>1017938440</v>
      </c>
      <c r="F76" s="39">
        <v>818498471</v>
      </c>
    </row>
    <row r="77" spans="1:7" ht="54" x14ac:dyDescent="0.25">
      <c r="A77" s="35" t="s">
        <v>125</v>
      </c>
      <c r="B77" s="36" t="s">
        <v>131</v>
      </c>
      <c r="C77" s="40" t="s">
        <v>132</v>
      </c>
      <c r="D77" s="37" t="s">
        <v>133</v>
      </c>
      <c r="E77" s="38">
        <v>419054876</v>
      </c>
      <c r="F77" s="39">
        <v>305190302</v>
      </c>
    </row>
    <row r="78" spans="1:7" ht="45" x14ac:dyDescent="0.25">
      <c r="A78" s="35" t="s">
        <v>400</v>
      </c>
      <c r="B78" s="36" t="s">
        <v>131</v>
      </c>
      <c r="C78" s="40" t="s">
        <v>291</v>
      </c>
      <c r="D78" s="40" t="s">
        <v>366</v>
      </c>
      <c r="E78" s="38">
        <v>8501760</v>
      </c>
      <c r="F78" s="39">
        <v>0</v>
      </c>
    </row>
    <row r="79" spans="1:7" x14ac:dyDescent="0.25">
      <c r="A79" s="35" t="s">
        <v>400</v>
      </c>
      <c r="B79" s="36" t="s">
        <v>131</v>
      </c>
      <c r="C79" s="40" t="s">
        <v>291</v>
      </c>
      <c r="D79" s="40" t="s">
        <v>311</v>
      </c>
      <c r="E79" s="38">
        <v>0</v>
      </c>
      <c r="F79" s="39">
        <v>0</v>
      </c>
    </row>
    <row r="80" spans="1:7" ht="27" x14ac:dyDescent="0.25">
      <c r="A80" s="54" t="s">
        <v>400</v>
      </c>
      <c r="B80" s="55" t="s">
        <v>367</v>
      </c>
      <c r="C80" s="59" t="s">
        <v>368</v>
      </c>
      <c r="D80" s="59" t="s">
        <v>369</v>
      </c>
      <c r="E80" s="57">
        <v>113400000</v>
      </c>
      <c r="F80" s="58">
        <v>57955628</v>
      </c>
      <c r="G80" s="41">
        <f>+E80</f>
        <v>113400000</v>
      </c>
    </row>
    <row r="81" spans="1:7" ht="36" x14ac:dyDescent="0.25">
      <c r="A81" s="35" t="s">
        <v>400</v>
      </c>
      <c r="B81" s="36" t="s">
        <v>385</v>
      </c>
      <c r="C81" s="40" t="s">
        <v>386</v>
      </c>
      <c r="D81" s="40" t="s">
        <v>387</v>
      </c>
      <c r="E81" s="38">
        <v>0</v>
      </c>
      <c r="F81" s="39">
        <v>0</v>
      </c>
      <c r="G81" s="41">
        <f>SUM(E81:E82)</f>
        <v>9000000</v>
      </c>
    </row>
    <row r="82" spans="1:7" ht="45" x14ac:dyDescent="0.25">
      <c r="A82" s="35" t="s">
        <v>400</v>
      </c>
      <c r="B82" s="36" t="s">
        <v>213</v>
      </c>
      <c r="C82" s="40" t="s">
        <v>370</v>
      </c>
      <c r="D82" s="40" t="s">
        <v>371</v>
      </c>
      <c r="E82" s="38">
        <v>9000000</v>
      </c>
      <c r="F82" s="39">
        <v>4278050</v>
      </c>
    </row>
    <row r="83" spans="1:7" ht="27" x14ac:dyDescent="0.25">
      <c r="A83" s="54" t="s">
        <v>400</v>
      </c>
      <c r="B83" s="55" t="s">
        <v>300</v>
      </c>
      <c r="C83" s="59" t="s">
        <v>301</v>
      </c>
      <c r="D83" s="59" t="s">
        <v>372</v>
      </c>
      <c r="E83" s="57">
        <v>155387200</v>
      </c>
      <c r="F83" s="58">
        <v>123901009</v>
      </c>
      <c r="G83" s="41">
        <f>SUM(E83:E84)</f>
        <v>771426935</v>
      </c>
    </row>
    <row r="84" spans="1:7" ht="27" x14ac:dyDescent="0.25">
      <c r="A84" s="54" t="s">
        <v>400</v>
      </c>
      <c r="B84" s="55" t="s">
        <v>300</v>
      </c>
      <c r="C84" s="59" t="s">
        <v>301</v>
      </c>
      <c r="D84" s="59" t="s">
        <v>302</v>
      </c>
      <c r="E84" s="57">
        <v>616039735</v>
      </c>
      <c r="F84" s="58">
        <v>514479733</v>
      </c>
    </row>
    <row r="85" spans="1:7" ht="36" x14ac:dyDescent="0.25">
      <c r="A85" s="35" t="s">
        <v>125</v>
      </c>
      <c r="B85" s="36" t="s">
        <v>176</v>
      </c>
      <c r="C85" s="40" t="s">
        <v>177</v>
      </c>
      <c r="D85" s="37" t="s">
        <v>178</v>
      </c>
      <c r="E85" s="38">
        <v>82705000</v>
      </c>
      <c r="F85" s="39">
        <v>82705000</v>
      </c>
      <c r="G85" s="41">
        <f>SUM(E85:E95)</f>
        <v>4841829748</v>
      </c>
    </row>
    <row r="86" spans="1:7" ht="27" x14ac:dyDescent="0.25">
      <c r="A86" s="35" t="s">
        <v>400</v>
      </c>
      <c r="B86" s="36" t="s">
        <v>176</v>
      </c>
      <c r="C86" s="40" t="s">
        <v>345</v>
      </c>
      <c r="D86" s="40" t="s">
        <v>346</v>
      </c>
      <c r="E86" s="38">
        <v>99906</v>
      </c>
      <c r="F86" s="39">
        <v>0</v>
      </c>
    </row>
    <row r="87" spans="1:7" ht="36" x14ac:dyDescent="0.25">
      <c r="A87" s="35" t="s">
        <v>400</v>
      </c>
      <c r="B87" s="36" t="s">
        <v>347</v>
      </c>
      <c r="C87" s="40" t="s">
        <v>348</v>
      </c>
      <c r="D87" s="40" t="s">
        <v>349</v>
      </c>
      <c r="E87" s="38">
        <v>773500000</v>
      </c>
      <c r="F87" s="39">
        <v>773500000</v>
      </c>
    </row>
    <row r="88" spans="1:7" ht="18" x14ac:dyDescent="0.25">
      <c r="A88" s="35" t="s">
        <v>400</v>
      </c>
      <c r="B88" s="36" t="s">
        <v>353</v>
      </c>
      <c r="C88" s="40" t="s">
        <v>354</v>
      </c>
      <c r="D88" s="40" t="s">
        <v>355</v>
      </c>
      <c r="E88" s="38">
        <v>96480356</v>
      </c>
      <c r="F88" s="39">
        <v>75447284</v>
      </c>
    </row>
    <row r="89" spans="1:7" ht="36" x14ac:dyDescent="0.25">
      <c r="A89" s="35" t="s">
        <v>400</v>
      </c>
      <c r="B89" s="36" t="s">
        <v>342</v>
      </c>
      <c r="C89" s="37" t="s">
        <v>343</v>
      </c>
      <c r="D89" s="40" t="s">
        <v>344</v>
      </c>
      <c r="E89" s="38">
        <v>246918052</v>
      </c>
      <c r="F89" s="39">
        <v>244183119</v>
      </c>
    </row>
    <row r="90" spans="1:7" ht="18" x14ac:dyDescent="0.25">
      <c r="A90" s="35" t="s">
        <v>400</v>
      </c>
      <c r="B90" s="36" t="s">
        <v>376</v>
      </c>
      <c r="C90" s="40" t="s">
        <v>377</v>
      </c>
      <c r="D90" s="40" t="s">
        <v>378</v>
      </c>
      <c r="E90" s="38">
        <v>77370032</v>
      </c>
      <c r="F90" s="39">
        <v>67334323</v>
      </c>
    </row>
    <row r="91" spans="1:7" ht="45" x14ac:dyDescent="0.25">
      <c r="A91" s="35" t="s">
        <v>125</v>
      </c>
      <c r="B91" s="36" t="s">
        <v>171</v>
      </c>
      <c r="C91" s="37" t="s">
        <v>172</v>
      </c>
      <c r="D91" s="37" t="s">
        <v>174</v>
      </c>
      <c r="E91" s="38">
        <v>293398</v>
      </c>
      <c r="F91" s="39">
        <v>293398</v>
      </c>
    </row>
    <row r="92" spans="1:7" ht="18" x14ac:dyDescent="0.25">
      <c r="A92" s="35" t="s">
        <v>400</v>
      </c>
      <c r="B92" s="36" t="s">
        <v>373</v>
      </c>
      <c r="C92" s="40" t="s">
        <v>374</v>
      </c>
      <c r="D92" s="40" t="s">
        <v>375</v>
      </c>
      <c r="E92" s="38">
        <v>89576302</v>
      </c>
      <c r="F92" s="39">
        <v>88341679</v>
      </c>
    </row>
    <row r="93" spans="1:7" ht="18" x14ac:dyDescent="0.25">
      <c r="A93" s="35" t="s">
        <v>400</v>
      </c>
      <c r="B93" s="36" t="s">
        <v>350</v>
      </c>
      <c r="C93" s="40" t="s">
        <v>351</v>
      </c>
      <c r="D93" s="40" t="s">
        <v>352</v>
      </c>
      <c r="E93" s="38">
        <v>7893416</v>
      </c>
      <c r="F93" s="39">
        <v>7893416</v>
      </c>
    </row>
    <row r="94" spans="1:7" ht="27" x14ac:dyDescent="0.25">
      <c r="A94" s="35" t="s">
        <v>125</v>
      </c>
      <c r="B94" s="36" t="s">
        <v>168</v>
      </c>
      <c r="C94" s="40" t="s">
        <v>169</v>
      </c>
      <c r="D94" s="37" t="s">
        <v>170</v>
      </c>
      <c r="E94" s="38">
        <v>3466349734</v>
      </c>
      <c r="F94" s="39">
        <v>3466349733</v>
      </c>
    </row>
    <row r="95" spans="1:7" ht="45" x14ac:dyDescent="0.25">
      <c r="A95" s="35" t="s">
        <v>125</v>
      </c>
      <c r="B95" s="36" t="s">
        <v>171</v>
      </c>
      <c r="C95" s="37" t="s">
        <v>172</v>
      </c>
      <c r="D95" s="37" t="s">
        <v>173</v>
      </c>
      <c r="E95" s="38">
        <v>643552</v>
      </c>
      <c r="F95" s="39">
        <v>643552</v>
      </c>
    </row>
    <row r="96" spans="1:7" ht="27" x14ac:dyDescent="0.25">
      <c r="A96" s="54" t="s">
        <v>125</v>
      </c>
      <c r="B96" s="55" t="s">
        <v>198</v>
      </c>
      <c r="C96" s="59" t="s">
        <v>199</v>
      </c>
      <c r="D96" s="56" t="s">
        <v>200</v>
      </c>
      <c r="E96" s="57">
        <v>505004004</v>
      </c>
      <c r="F96" s="58">
        <v>505004004</v>
      </c>
      <c r="G96" s="41">
        <f>SUM(E96:E106)</f>
        <v>1243805571</v>
      </c>
    </row>
    <row r="97" spans="1:7" ht="27" x14ac:dyDescent="0.25">
      <c r="A97" s="54" t="s">
        <v>125</v>
      </c>
      <c r="B97" s="55" t="s">
        <v>201</v>
      </c>
      <c r="C97" s="59" t="s">
        <v>202</v>
      </c>
      <c r="D97" s="56" t="s">
        <v>200</v>
      </c>
      <c r="E97" s="57">
        <v>0</v>
      </c>
      <c r="F97" s="58">
        <v>0</v>
      </c>
    </row>
    <row r="98" spans="1:7" ht="18" x14ac:dyDescent="0.25">
      <c r="A98" s="54" t="s">
        <v>400</v>
      </c>
      <c r="B98" s="55" t="s">
        <v>198</v>
      </c>
      <c r="C98" s="59" t="s">
        <v>280</v>
      </c>
      <c r="D98" s="59" t="s">
        <v>200</v>
      </c>
      <c r="E98" s="57">
        <v>91000000</v>
      </c>
      <c r="F98" s="58">
        <v>58979767</v>
      </c>
    </row>
    <row r="99" spans="1:7" ht="18" x14ac:dyDescent="0.25">
      <c r="A99" s="54" t="s">
        <v>400</v>
      </c>
      <c r="B99" s="55" t="s">
        <v>198</v>
      </c>
      <c r="C99" s="59" t="s">
        <v>280</v>
      </c>
      <c r="D99" s="59" t="s">
        <v>278</v>
      </c>
      <c r="E99" s="57">
        <f>40987852-4820618</f>
        <v>36167234</v>
      </c>
      <c r="F99" s="58">
        <v>9970600</v>
      </c>
    </row>
    <row r="100" spans="1:7" ht="45" x14ac:dyDescent="0.25">
      <c r="A100" s="54" t="s">
        <v>400</v>
      </c>
      <c r="B100" s="55" t="s">
        <v>163</v>
      </c>
      <c r="C100" s="56" t="s">
        <v>164</v>
      </c>
      <c r="D100" s="59" t="s">
        <v>278</v>
      </c>
      <c r="E100" s="57">
        <f>32701571-14320553+4820618</f>
        <v>23201636</v>
      </c>
      <c r="F100" s="58">
        <v>23201636</v>
      </c>
      <c r="G100" s="41"/>
    </row>
    <row r="101" spans="1:7" ht="18" x14ac:dyDescent="0.25">
      <c r="A101" s="54" t="s">
        <v>125</v>
      </c>
      <c r="B101" s="55" t="s">
        <v>186</v>
      </c>
      <c r="C101" s="59" t="s">
        <v>187</v>
      </c>
      <c r="D101" s="56" t="s">
        <v>188</v>
      </c>
      <c r="E101" s="57">
        <v>200000000</v>
      </c>
      <c r="F101" s="58">
        <v>200000000</v>
      </c>
    </row>
    <row r="102" spans="1:7" ht="18" x14ac:dyDescent="0.25">
      <c r="A102" s="54" t="s">
        <v>400</v>
      </c>
      <c r="B102" s="55" t="s">
        <v>186</v>
      </c>
      <c r="C102" s="59" t="s">
        <v>277</v>
      </c>
      <c r="D102" s="59" t="s">
        <v>188</v>
      </c>
      <c r="E102" s="57">
        <v>48000000</v>
      </c>
      <c r="F102" s="58">
        <v>743750</v>
      </c>
    </row>
    <row r="103" spans="1:7" ht="18" x14ac:dyDescent="0.25">
      <c r="A103" s="54" t="s">
        <v>125</v>
      </c>
      <c r="B103" s="55" t="s">
        <v>192</v>
      </c>
      <c r="C103" s="59" t="s">
        <v>193</v>
      </c>
      <c r="D103" s="56" t="s">
        <v>194</v>
      </c>
      <c r="E103" s="57">
        <v>264995996</v>
      </c>
      <c r="F103" s="58">
        <v>238938280</v>
      </c>
    </row>
    <row r="104" spans="1:7" ht="18" x14ac:dyDescent="0.25">
      <c r="A104" s="54" t="s">
        <v>400</v>
      </c>
      <c r="B104" s="55" t="s">
        <v>192</v>
      </c>
      <c r="C104" s="59" t="s">
        <v>279</v>
      </c>
      <c r="D104" s="59" t="s">
        <v>194</v>
      </c>
      <c r="E104" s="57">
        <v>29000000</v>
      </c>
      <c r="F104" s="58">
        <v>21243433</v>
      </c>
    </row>
    <row r="105" spans="1:7" ht="18" x14ac:dyDescent="0.25">
      <c r="A105" s="54" t="s">
        <v>125</v>
      </c>
      <c r="B105" s="55" t="s">
        <v>189</v>
      </c>
      <c r="C105" s="59" t="s">
        <v>190</v>
      </c>
      <c r="D105" s="56" t="s">
        <v>191</v>
      </c>
      <c r="E105" s="57">
        <v>20000000</v>
      </c>
      <c r="F105" s="58">
        <v>3755174</v>
      </c>
    </row>
    <row r="106" spans="1:7" ht="18" x14ac:dyDescent="0.25">
      <c r="A106" s="54" t="s">
        <v>125</v>
      </c>
      <c r="B106" s="55" t="s">
        <v>195</v>
      </c>
      <c r="C106" s="59" t="s">
        <v>196</v>
      </c>
      <c r="D106" s="56" t="s">
        <v>197</v>
      </c>
      <c r="E106" s="57">
        <v>26436701</v>
      </c>
      <c r="F106" s="58">
        <v>749427</v>
      </c>
    </row>
    <row r="107" spans="1:7" ht="45" x14ac:dyDescent="0.25">
      <c r="A107" s="35" t="s">
        <v>400</v>
      </c>
      <c r="B107" s="36" t="s">
        <v>379</v>
      </c>
      <c r="C107" s="40" t="s">
        <v>380</v>
      </c>
      <c r="D107" s="40" t="s">
        <v>381</v>
      </c>
      <c r="E107" s="38">
        <v>468713037</v>
      </c>
      <c r="F107" s="39">
        <v>62720781</v>
      </c>
      <c r="G107" s="41">
        <f>SUM(E107:E108)</f>
        <v>636007663</v>
      </c>
    </row>
    <row r="108" spans="1:7" ht="63" x14ac:dyDescent="0.25">
      <c r="A108" s="35" t="s">
        <v>400</v>
      </c>
      <c r="B108" s="36" t="s">
        <v>391</v>
      </c>
      <c r="C108" s="37" t="s">
        <v>392</v>
      </c>
      <c r="D108" s="40" t="s">
        <v>393</v>
      </c>
      <c r="E108" s="38">
        <v>167294626</v>
      </c>
      <c r="F108" s="39">
        <v>24854007</v>
      </c>
    </row>
    <row r="109" spans="1:7" ht="36" x14ac:dyDescent="0.25">
      <c r="A109" s="54" t="s">
        <v>400</v>
      </c>
      <c r="B109" s="55" t="s">
        <v>382</v>
      </c>
      <c r="C109" s="59" t="s">
        <v>383</v>
      </c>
      <c r="D109" s="59" t="s">
        <v>384</v>
      </c>
      <c r="E109" s="57">
        <v>314966442</v>
      </c>
      <c r="F109" s="58">
        <v>123261314</v>
      </c>
      <c r="G109" s="41">
        <f>SUM(E109)</f>
        <v>314966442</v>
      </c>
    </row>
    <row r="110" spans="1:7" ht="45" x14ac:dyDescent="0.25">
      <c r="A110" s="35" t="s">
        <v>400</v>
      </c>
      <c r="B110" s="36" t="s">
        <v>388</v>
      </c>
      <c r="C110" s="37" t="s">
        <v>389</v>
      </c>
      <c r="D110" s="40" t="s">
        <v>390</v>
      </c>
      <c r="E110" s="38">
        <v>115005374</v>
      </c>
      <c r="F110" s="39">
        <v>106930243</v>
      </c>
      <c r="G110" s="41">
        <f>SUM(E110)</f>
        <v>115005374</v>
      </c>
    </row>
    <row r="111" spans="1:7" ht="36" x14ac:dyDescent="0.25">
      <c r="A111" s="54" t="s">
        <v>125</v>
      </c>
      <c r="B111" s="55" t="s">
        <v>204</v>
      </c>
      <c r="C111" s="56" t="s">
        <v>205</v>
      </c>
      <c r="D111" s="56" t="s">
        <v>206</v>
      </c>
      <c r="E111" s="57">
        <v>167000000</v>
      </c>
      <c r="F111" s="58">
        <v>150829222</v>
      </c>
      <c r="G111" s="41">
        <f>SUM(E111:E112)</f>
        <v>1039976619</v>
      </c>
    </row>
    <row r="112" spans="1:7" ht="27" x14ac:dyDescent="0.25">
      <c r="A112" s="54" t="s">
        <v>400</v>
      </c>
      <c r="B112" s="55" t="s">
        <v>204</v>
      </c>
      <c r="C112" s="59" t="s">
        <v>287</v>
      </c>
      <c r="D112" s="59" t="s">
        <v>288</v>
      </c>
      <c r="E112" s="57">
        <f>828976619+44000000</f>
        <v>872976619</v>
      </c>
      <c r="F112" s="58">
        <v>0</v>
      </c>
    </row>
    <row r="113" spans="1:7" ht="27" x14ac:dyDescent="0.25">
      <c r="A113" s="35" t="s">
        <v>125</v>
      </c>
      <c r="B113" s="36" t="s">
        <v>250</v>
      </c>
      <c r="C113" s="40" t="s">
        <v>251</v>
      </c>
      <c r="D113" s="37" t="s">
        <v>252</v>
      </c>
      <c r="E113" s="38">
        <v>3979308239</v>
      </c>
      <c r="F113" s="39">
        <v>3778431065</v>
      </c>
      <c r="G113" s="41">
        <f>SUM(E113:E114)</f>
        <v>5089780463</v>
      </c>
    </row>
    <row r="114" spans="1:7" ht="36" x14ac:dyDescent="0.25">
      <c r="A114" s="35" t="s">
        <v>125</v>
      </c>
      <c r="B114" s="36" t="s">
        <v>213</v>
      </c>
      <c r="C114" s="37" t="s">
        <v>214</v>
      </c>
      <c r="D114" s="37" t="s">
        <v>249</v>
      </c>
      <c r="E114" s="38">
        <v>1110472224</v>
      </c>
      <c r="F114" s="39">
        <v>1050667756</v>
      </c>
    </row>
    <row r="115" spans="1:7" ht="27" x14ac:dyDescent="0.25">
      <c r="A115" s="54" t="s">
        <v>125</v>
      </c>
      <c r="B115" s="55" t="s">
        <v>179</v>
      </c>
      <c r="C115" s="59" t="s">
        <v>180</v>
      </c>
      <c r="D115" s="56" t="s">
        <v>181</v>
      </c>
      <c r="E115" s="57">
        <v>61000000</v>
      </c>
      <c r="F115" s="58">
        <v>54137862</v>
      </c>
      <c r="G115" s="41">
        <f>SUM(E115:E117)</f>
        <v>323666007</v>
      </c>
    </row>
    <row r="116" spans="1:7" ht="45" x14ac:dyDescent="0.25">
      <c r="A116" s="54" t="s">
        <v>125</v>
      </c>
      <c r="B116" s="55" t="s">
        <v>129</v>
      </c>
      <c r="C116" s="56" t="s">
        <v>130</v>
      </c>
      <c r="D116" s="56" t="s">
        <v>182</v>
      </c>
      <c r="E116" s="57">
        <v>58666007</v>
      </c>
      <c r="F116" s="58">
        <v>58666006</v>
      </c>
    </row>
    <row r="117" spans="1:7" ht="36" x14ac:dyDescent="0.25">
      <c r="A117" s="54" t="s">
        <v>400</v>
      </c>
      <c r="B117" s="55" t="s">
        <v>129</v>
      </c>
      <c r="C117" s="56" t="s">
        <v>281</v>
      </c>
      <c r="D117" s="59" t="s">
        <v>362</v>
      </c>
      <c r="E117" s="57">
        <v>204000000</v>
      </c>
      <c r="F117" s="58">
        <v>57030750</v>
      </c>
    </row>
    <row r="118" spans="1:7" ht="36" x14ac:dyDescent="0.25">
      <c r="A118" s="35" t="s">
        <v>125</v>
      </c>
      <c r="B118" s="36" t="s">
        <v>137</v>
      </c>
      <c r="C118" s="40" t="s">
        <v>138</v>
      </c>
      <c r="D118" s="37" t="s">
        <v>139</v>
      </c>
      <c r="E118" s="38">
        <v>196350000</v>
      </c>
      <c r="F118" s="39">
        <v>196350000</v>
      </c>
      <c r="G118" s="41">
        <f>SUM(E118:E120)</f>
        <v>1013963038</v>
      </c>
    </row>
    <row r="119" spans="1:7" ht="27" x14ac:dyDescent="0.25">
      <c r="A119" s="35" t="s">
        <v>400</v>
      </c>
      <c r="B119" s="36" t="s">
        <v>137</v>
      </c>
      <c r="C119" s="40" t="s">
        <v>303</v>
      </c>
      <c r="D119" s="40" t="s">
        <v>139</v>
      </c>
      <c r="E119" s="38">
        <v>814613038</v>
      </c>
      <c r="F119" s="39">
        <v>753693405</v>
      </c>
    </row>
    <row r="120" spans="1:7" ht="45" x14ac:dyDescent="0.25">
      <c r="A120" s="35" t="s">
        <v>400</v>
      </c>
      <c r="B120" s="36" t="s">
        <v>306</v>
      </c>
      <c r="C120" s="37" t="s">
        <v>307</v>
      </c>
      <c r="D120" s="40" t="s">
        <v>308</v>
      </c>
      <c r="E120" s="38">
        <v>3000000</v>
      </c>
      <c r="F120" s="39">
        <v>0</v>
      </c>
    </row>
    <row r="121" spans="1:7" ht="45" x14ac:dyDescent="0.25">
      <c r="A121" s="54" t="s">
        <v>125</v>
      </c>
      <c r="B121" s="55" t="s">
        <v>149</v>
      </c>
      <c r="C121" s="56" t="s">
        <v>150</v>
      </c>
      <c r="D121" s="56" t="s">
        <v>151</v>
      </c>
      <c r="E121" s="57">
        <v>23550000</v>
      </c>
      <c r="F121" s="58">
        <v>23550000</v>
      </c>
      <c r="G121" s="41">
        <f>+E121</f>
        <v>23550000</v>
      </c>
    </row>
    <row r="122" spans="1:7" ht="45" x14ac:dyDescent="0.25">
      <c r="A122" s="35" t="s">
        <v>125</v>
      </c>
      <c r="B122" s="36" t="s">
        <v>134</v>
      </c>
      <c r="C122" s="40" t="s">
        <v>135</v>
      </c>
      <c r="D122" s="37" t="s">
        <v>136</v>
      </c>
      <c r="E122" s="38">
        <v>1857072701</v>
      </c>
      <c r="F122" s="39">
        <v>1857072700</v>
      </c>
      <c r="G122" s="41">
        <f>SUM(E122:E123)</f>
        <v>1893558101</v>
      </c>
    </row>
    <row r="123" spans="1:7" ht="45" x14ac:dyDescent="0.25">
      <c r="A123" s="35" t="s">
        <v>400</v>
      </c>
      <c r="B123" s="36" t="s">
        <v>134</v>
      </c>
      <c r="C123" s="40" t="s">
        <v>298</v>
      </c>
      <c r="D123" s="40" t="s">
        <v>299</v>
      </c>
      <c r="E123" s="38">
        <v>36485400</v>
      </c>
      <c r="F123" s="39">
        <v>36485400</v>
      </c>
    </row>
    <row r="124" spans="1:7" ht="36" x14ac:dyDescent="0.25">
      <c r="A124" s="54" t="s">
        <v>400</v>
      </c>
      <c r="B124" s="55" t="s">
        <v>179</v>
      </c>
      <c r="C124" s="59" t="s">
        <v>312</v>
      </c>
      <c r="D124" s="59" t="s">
        <v>313</v>
      </c>
      <c r="E124" s="57">
        <v>43602375</v>
      </c>
      <c r="F124" s="58">
        <v>0</v>
      </c>
      <c r="G124" s="41">
        <f>SUM(E124:E126)</f>
        <v>77000000</v>
      </c>
    </row>
    <row r="125" spans="1:7" ht="45" x14ac:dyDescent="0.25">
      <c r="A125" s="54" t="s">
        <v>400</v>
      </c>
      <c r="B125" s="55" t="s">
        <v>314</v>
      </c>
      <c r="C125" s="56" t="s">
        <v>315</v>
      </c>
      <c r="D125" s="59" t="s">
        <v>316</v>
      </c>
      <c r="E125" s="57">
        <v>20000000</v>
      </c>
      <c r="F125" s="58">
        <v>0</v>
      </c>
    </row>
    <row r="126" spans="1:7" ht="27" x14ac:dyDescent="0.25">
      <c r="A126" s="54" t="s">
        <v>400</v>
      </c>
      <c r="B126" s="55" t="s">
        <v>359</v>
      </c>
      <c r="C126" s="59" t="s">
        <v>360</v>
      </c>
      <c r="D126" s="59" t="s">
        <v>361</v>
      </c>
      <c r="E126" s="57">
        <v>13397625</v>
      </c>
      <c r="F126" s="58">
        <v>13397625</v>
      </c>
    </row>
    <row r="127" spans="1:7" ht="27" x14ac:dyDescent="0.25">
      <c r="A127" s="35" t="s">
        <v>400</v>
      </c>
      <c r="B127" s="36" t="s">
        <v>317</v>
      </c>
      <c r="C127" s="40" t="s">
        <v>318</v>
      </c>
      <c r="D127" s="40" t="s">
        <v>319</v>
      </c>
      <c r="E127" s="38">
        <v>158000000</v>
      </c>
      <c r="F127" s="39">
        <v>157299200</v>
      </c>
      <c r="G127" s="41">
        <f>+E127</f>
        <v>158000000</v>
      </c>
    </row>
    <row r="128" spans="1:7" ht="54" x14ac:dyDescent="0.25">
      <c r="A128" s="54" t="s">
        <v>400</v>
      </c>
      <c r="B128" s="55" t="s">
        <v>320</v>
      </c>
      <c r="C128" s="59" t="s">
        <v>321</v>
      </c>
      <c r="D128" s="59" t="s">
        <v>322</v>
      </c>
      <c r="E128" s="57">
        <v>52393736</v>
      </c>
      <c r="F128" s="58">
        <v>43000000</v>
      </c>
      <c r="G128" s="41">
        <f>+E128</f>
        <v>52393736</v>
      </c>
    </row>
    <row r="129" spans="1:7" ht="45" x14ac:dyDescent="0.25">
      <c r="A129" s="35" t="s">
        <v>400</v>
      </c>
      <c r="B129" s="36" t="s">
        <v>323</v>
      </c>
      <c r="C129" s="37" t="s">
        <v>324</v>
      </c>
      <c r="D129" s="40" t="s">
        <v>325</v>
      </c>
      <c r="E129" s="38">
        <v>191009060</v>
      </c>
      <c r="F129" s="39">
        <v>191009060</v>
      </c>
      <c r="G129" s="41">
        <f>+E129</f>
        <v>191009060</v>
      </c>
    </row>
    <row r="130" spans="1:7" ht="45" x14ac:dyDescent="0.25">
      <c r="A130" s="54" t="s">
        <v>125</v>
      </c>
      <c r="B130" s="55" t="s">
        <v>149</v>
      </c>
      <c r="C130" s="56" t="s">
        <v>150</v>
      </c>
      <c r="D130" s="56" t="s">
        <v>259</v>
      </c>
      <c r="E130" s="57">
        <v>0</v>
      </c>
      <c r="F130" s="58">
        <v>0</v>
      </c>
    </row>
    <row r="131" spans="1:7" ht="45" x14ac:dyDescent="0.25">
      <c r="A131" s="35" t="s">
        <v>400</v>
      </c>
      <c r="B131" s="36" t="s">
        <v>306</v>
      </c>
      <c r="C131" s="37" t="s">
        <v>307</v>
      </c>
      <c r="D131" s="40" t="s">
        <v>326</v>
      </c>
      <c r="E131" s="38">
        <v>20000000</v>
      </c>
      <c r="F131" s="39">
        <v>0</v>
      </c>
      <c r="G131" s="41">
        <f>+E131</f>
        <v>20000000</v>
      </c>
    </row>
    <row r="132" spans="1:7" ht="36" x14ac:dyDescent="0.25">
      <c r="A132" s="54" t="s">
        <v>400</v>
      </c>
      <c r="B132" s="55" t="s">
        <v>327</v>
      </c>
      <c r="C132" s="56" t="s">
        <v>328</v>
      </c>
      <c r="D132" s="59" t="s">
        <v>329</v>
      </c>
      <c r="E132" s="57">
        <v>160000000</v>
      </c>
      <c r="F132" s="58">
        <v>138264753</v>
      </c>
      <c r="G132" s="41">
        <f>+E132</f>
        <v>160000000</v>
      </c>
    </row>
    <row r="133" spans="1:7" ht="36" x14ac:dyDescent="0.25">
      <c r="A133" s="35" t="s">
        <v>400</v>
      </c>
      <c r="B133" s="36" t="s">
        <v>183</v>
      </c>
      <c r="C133" s="40" t="s">
        <v>330</v>
      </c>
      <c r="D133" s="40" t="s">
        <v>331</v>
      </c>
      <c r="E133" s="38">
        <v>780000000</v>
      </c>
      <c r="F133" s="39">
        <v>754009398</v>
      </c>
      <c r="G133" s="41">
        <f>SUM(E133:E134)</f>
        <v>860184580</v>
      </c>
    </row>
    <row r="134" spans="1:7" ht="18" x14ac:dyDescent="0.25">
      <c r="A134" s="35" t="s">
        <v>125</v>
      </c>
      <c r="B134" s="36" t="s">
        <v>183</v>
      </c>
      <c r="C134" s="40" t="s">
        <v>184</v>
      </c>
      <c r="D134" s="37" t="s">
        <v>185</v>
      </c>
      <c r="E134" s="38">
        <v>80184580</v>
      </c>
      <c r="F134" s="39">
        <v>80184580</v>
      </c>
    </row>
    <row r="135" spans="1:7" ht="36" x14ac:dyDescent="0.25">
      <c r="A135" s="54" t="s">
        <v>125</v>
      </c>
      <c r="B135" s="55" t="s">
        <v>165</v>
      </c>
      <c r="C135" s="56" t="s">
        <v>166</v>
      </c>
      <c r="D135" s="56" t="s">
        <v>167</v>
      </c>
      <c r="E135" s="57">
        <v>2862809174</v>
      </c>
      <c r="F135" s="58">
        <v>2782792618</v>
      </c>
      <c r="G135" s="41">
        <f>SUM(E135:E137)</f>
        <v>4015848921</v>
      </c>
    </row>
    <row r="136" spans="1:7" ht="27" x14ac:dyDescent="0.25">
      <c r="A136" s="54" t="s">
        <v>400</v>
      </c>
      <c r="B136" s="55" t="s">
        <v>165</v>
      </c>
      <c r="C136" s="59" t="s">
        <v>270</v>
      </c>
      <c r="D136" s="59" t="s">
        <v>332</v>
      </c>
      <c r="E136" s="57">
        <v>742959853</v>
      </c>
      <c r="F136" s="58">
        <v>676879828</v>
      </c>
    </row>
    <row r="137" spans="1:7" ht="27" x14ac:dyDescent="0.25">
      <c r="A137" s="54" t="s">
        <v>400</v>
      </c>
      <c r="B137" s="55" t="s">
        <v>165</v>
      </c>
      <c r="C137" s="59" t="s">
        <v>270</v>
      </c>
      <c r="D137" s="59" t="s">
        <v>271</v>
      </c>
      <c r="E137" s="57">
        <v>410079894</v>
      </c>
      <c r="F137" s="58">
        <v>14127598</v>
      </c>
    </row>
    <row r="138" spans="1:7" ht="27" x14ac:dyDescent="0.25">
      <c r="A138" s="35" t="s">
        <v>400</v>
      </c>
      <c r="B138" s="36" t="s">
        <v>333</v>
      </c>
      <c r="C138" s="40" t="s">
        <v>334</v>
      </c>
      <c r="D138" s="40" t="s">
        <v>335</v>
      </c>
      <c r="E138" s="38">
        <v>235000000</v>
      </c>
      <c r="F138" s="39">
        <v>108305850</v>
      </c>
      <c r="G138" s="41">
        <f>+E138</f>
        <v>235000000</v>
      </c>
    </row>
    <row r="139" spans="1:7" ht="36" x14ac:dyDescent="0.25">
      <c r="A139" s="54" t="s">
        <v>400</v>
      </c>
      <c r="B139" s="55" t="s">
        <v>336</v>
      </c>
      <c r="C139" s="59" t="s">
        <v>337</v>
      </c>
      <c r="D139" s="59" t="s">
        <v>338</v>
      </c>
      <c r="E139" s="57">
        <v>15000000</v>
      </c>
      <c r="F139" s="58">
        <v>13250000</v>
      </c>
      <c r="G139" s="41">
        <f>+E139</f>
        <v>15000000</v>
      </c>
    </row>
    <row r="140" spans="1:7" ht="27" x14ac:dyDescent="0.25">
      <c r="A140" s="35" t="s">
        <v>400</v>
      </c>
      <c r="B140" s="36" t="s">
        <v>339</v>
      </c>
      <c r="C140" s="40" t="s">
        <v>340</v>
      </c>
      <c r="D140" s="40" t="s">
        <v>341</v>
      </c>
      <c r="E140" s="38">
        <v>329597204</v>
      </c>
      <c r="F140" s="39">
        <v>251328969</v>
      </c>
      <c r="G140" s="41">
        <f>+E140</f>
        <v>329597204</v>
      </c>
    </row>
    <row r="141" spans="1:7" ht="27" x14ac:dyDescent="0.25">
      <c r="A141" s="54" t="s">
        <v>400</v>
      </c>
      <c r="B141" s="55" t="s">
        <v>356</v>
      </c>
      <c r="C141" s="59" t="s">
        <v>357</v>
      </c>
      <c r="D141" s="59" t="s">
        <v>358</v>
      </c>
      <c r="E141" s="57">
        <v>5606934222</v>
      </c>
      <c r="F141" s="58">
        <v>5550725625</v>
      </c>
      <c r="G141" s="41">
        <f>+E141</f>
        <v>5606934222</v>
      </c>
    </row>
    <row r="142" spans="1:7" ht="36" x14ac:dyDescent="0.25">
      <c r="A142" s="35" t="s">
        <v>125</v>
      </c>
      <c r="B142" s="36" t="s">
        <v>140</v>
      </c>
      <c r="C142" s="40" t="s">
        <v>141</v>
      </c>
      <c r="D142" s="37" t="s">
        <v>142</v>
      </c>
      <c r="E142" s="38">
        <v>11977578</v>
      </c>
      <c r="F142" s="39">
        <v>11977578</v>
      </c>
      <c r="G142" s="41">
        <f>SUM(E142:E143)</f>
        <v>78888438</v>
      </c>
    </row>
    <row r="143" spans="1:7" ht="27" x14ac:dyDescent="0.25">
      <c r="A143" s="35" t="s">
        <v>400</v>
      </c>
      <c r="B143" s="36" t="s">
        <v>140</v>
      </c>
      <c r="C143" s="40" t="s">
        <v>305</v>
      </c>
      <c r="D143" s="40" t="s">
        <v>142</v>
      </c>
      <c r="E143" s="38">
        <v>66910860</v>
      </c>
      <c r="F143" s="39">
        <v>66910860</v>
      </c>
    </row>
    <row r="144" spans="1:7" ht="45" x14ac:dyDescent="0.25">
      <c r="A144" s="54" t="s">
        <v>125</v>
      </c>
      <c r="B144" s="55" t="s">
        <v>126</v>
      </c>
      <c r="C144" s="56" t="s">
        <v>127</v>
      </c>
      <c r="D144" s="56" t="s">
        <v>128</v>
      </c>
      <c r="E144" s="57">
        <v>37500000</v>
      </c>
      <c r="F144" s="58">
        <v>37040921</v>
      </c>
      <c r="G144" s="41">
        <f>SUM(E144:E145)</f>
        <v>75000000</v>
      </c>
    </row>
    <row r="145" spans="1:7" ht="45" x14ac:dyDescent="0.25">
      <c r="A145" s="54" t="s">
        <v>125</v>
      </c>
      <c r="B145" s="55" t="s">
        <v>129</v>
      </c>
      <c r="C145" s="56" t="s">
        <v>130</v>
      </c>
      <c r="D145" s="56" t="s">
        <v>128</v>
      </c>
      <c r="E145" s="57">
        <v>37500000</v>
      </c>
      <c r="F145" s="58">
        <v>37040921</v>
      </c>
    </row>
    <row r="146" spans="1:7" ht="45" x14ac:dyDescent="0.25">
      <c r="A146" s="35" t="s">
        <v>125</v>
      </c>
      <c r="B146" s="36" t="s">
        <v>129</v>
      </c>
      <c r="C146" s="37" t="s">
        <v>130</v>
      </c>
      <c r="D146" s="37" t="s">
        <v>238</v>
      </c>
      <c r="E146" s="38">
        <v>33021343</v>
      </c>
      <c r="F146" s="39">
        <v>33021343</v>
      </c>
      <c r="G146" s="41">
        <f>SUM(E146:E147)</f>
        <v>1735421429</v>
      </c>
    </row>
    <row r="147" spans="1:7" ht="63" x14ac:dyDescent="0.25">
      <c r="A147" s="35" t="s">
        <v>400</v>
      </c>
      <c r="B147" s="36" t="s">
        <v>129</v>
      </c>
      <c r="C147" s="37" t="s">
        <v>281</v>
      </c>
      <c r="D147" s="40" t="s">
        <v>282</v>
      </c>
      <c r="E147" s="38">
        <f>1742714240-40314154</f>
        <v>1702400086</v>
      </c>
      <c r="F147" s="39">
        <v>209211970</v>
      </c>
    </row>
    <row r="148" spans="1:7" ht="45" x14ac:dyDescent="0.25">
      <c r="A148" s="54" t="s">
        <v>125</v>
      </c>
      <c r="B148" s="55" t="s">
        <v>129</v>
      </c>
      <c r="C148" s="56" t="s">
        <v>130</v>
      </c>
      <c r="D148" s="56" t="s">
        <v>223</v>
      </c>
      <c r="E148" s="57">
        <v>70000000</v>
      </c>
      <c r="F148" s="58">
        <v>70000000</v>
      </c>
      <c r="G148" s="41">
        <f>+E148</f>
        <v>70000000</v>
      </c>
    </row>
    <row r="149" spans="1:7" ht="18" x14ac:dyDescent="0.25">
      <c r="A149" s="35" t="s">
        <v>400</v>
      </c>
      <c r="B149" s="36" t="s">
        <v>294</v>
      </c>
      <c r="C149" s="40" t="s">
        <v>295</v>
      </c>
      <c r="D149" s="40" t="s">
        <v>296</v>
      </c>
      <c r="E149" s="38">
        <v>60000000</v>
      </c>
      <c r="F149" s="39">
        <v>0</v>
      </c>
      <c r="G149" s="41">
        <f>+E149</f>
        <v>60000000</v>
      </c>
    </row>
    <row r="150" spans="1:7" ht="45" x14ac:dyDescent="0.25">
      <c r="A150" s="54" t="s">
        <v>125</v>
      </c>
      <c r="B150" s="55" t="s">
        <v>126</v>
      </c>
      <c r="C150" s="56" t="s">
        <v>127</v>
      </c>
      <c r="D150" s="56" t="s">
        <v>243</v>
      </c>
      <c r="E150" s="57">
        <v>10000000</v>
      </c>
      <c r="F150" s="58">
        <v>0</v>
      </c>
      <c r="G150" s="41">
        <f>+E150</f>
        <v>10000000</v>
      </c>
    </row>
    <row r="151" spans="1:7" ht="27" x14ac:dyDescent="0.25">
      <c r="A151" s="35" t="s">
        <v>400</v>
      </c>
      <c r="B151" s="36" t="s">
        <v>394</v>
      </c>
      <c r="C151" s="40" t="s">
        <v>395</v>
      </c>
      <c r="D151" s="40" t="s">
        <v>396</v>
      </c>
      <c r="E151" s="38">
        <v>100000000</v>
      </c>
      <c r="F151" s="39">
        <v>0</v>
      </c>
      <c r="G151" s="41">
        <f>+E151</f>
        <v>100000000</v>
      </c>
    </row>
  </sheetData>
  <sortState xmlns:xlrd2="http://schemas.microsoft.com/office/spreadsheetml/2017/richdata2" ref="A2:F151">
    <sortCondition ref="D2:D15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CE776-AD95-4571-A0B3-680868B8EBE3}">
  <dimension ref="A1:J57"/>
  <sheetViews>
    <sheetView tabSelected="1" zoomScale="90" zoomScaleNormal="90" workbookViewId="0">
      <selection activeCell="F2" sqref="F2"/>
    </sheetView>
  </sheetViews>
  <sheetFormatPr baseColWidth="10" defaultRowHeight="15.75" x14ac:dyDescent="0.25"/>
  <cols>
    <col min="1" max="1" width="11.7109375" style="25" bestFit="1" customWidth="1"/>
    <col min="2" max="2" width="52.140625" style="18" bestFit="1" customWidth="1"/>
    <col min="3" max="3" width="21.42578125" style="24" customWidth="1"/>
    <col min="4" max="4" width="22" style="18" customWidth="1"/>
    <col min="5" max="5" width="27" style="18" bestFit="1" customWidth="1"/>
    <col min="6" max="6" width="19.28515625" style="24" bestFit="1" customWidth="1"/>
    <col min="7" max="7" width="21.28515625" style="18" customWidth="1"/>
    <col min="8" max="8" width="14.85546875" style="18" customWidth="1"/>
    <col min="9" max="9" width="26.5703125" style="18" bestFit="1" customWidth="1"/>
    <col min="10" max="16384" width="11.42578125" style="18"/>
  </cols>
  <sheetData>
    <row r="1" spans="1:10" s="6" customFormat="1" x14ac:dyDescent="0.25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3" t="s">
        <v>6</v>
      </c>
      <c r="H1" s="3" t="s">
        <v>7</v>
      </c>
      <c r="I1" s="3" t="s">
        <v>8</v>
      </c>
    </row>
    <row r="2" spans="1:10" s="15" customFormat="1" ht="130.5" customHeight="1" x14ac:dyDescent="0.25">
      <c r="A2" s="7">
        <v>1</v>
      </c>
      <c r="B2" s="8" t="s">
        <v>9</v>
      </c>
      <c r="C2" s="9">
        <v>12053807215</v>
      </c>
      <c r="D2" s="10">
        <f>+C2+433000000-641774366+195587652+3051995958+126268000-530000000-129371233-100000000-500000000-94055716-128994463-939425313-279931002-130000000-297665476-130000000+12000000</f>
        <v>11971441256</v>
      </c>
      <c r="E2" s="11">
        <f>+CONSOLIDADO!G43</f>
        <v>11971441256</v>
      </c>
      <c r="F2" s="9">
        <f>+E2-D2</f>
        <v>0</v>
      </c>
      <c r="G2" s="12" t="s">
        <v>116</v>
      </c>
      <c r="H2" s="13" t="s">
        <v>117</v>
      </c>
      <c r="I2" s="14"/>
    </row>
    <row r="3" spans="1:10" s="15" customFormat="1" ht="157.5" x14ac:dyDescent="0.25">
      <c r="A3" s="7">
        <v>2</v>
      </c>
      <c r="B3" s="8" t="s">
        <v>10</v>
      </c>
      <c r="C3" s="9">
        <v>7821714231</v>
      </c>
      <c r="D3" s="10">
        <f>+C3-2625971431+1000000000+5340154073+283776303-90000000+102152166+263670051</f>
        <v>12095495393</v>
      </c>
      <c r="E3" s="11">
        <f>+CONSOLIDADO!G44</f>
        <v>12095495393</v>
      </c>
      <c r="F3" s="16">
        <f>+E3-D3</f>
        <v>0</v>
      </c>
      <c r="G3" s="12" t="s">
        <v>115</v>
      </c>
      <c r="H3" s="13" t="s">
        <v>118</v>
      </c>
      <c r="I3" s="14"/>
    </row>
    <row r="4" spans="1:10" s="15" customFormat="1" ht="94.5" x14ac:dyDescent="0.25">
      <c r="A4" s="7">
        <v>3</v>
      </c>
      <c r="B4" s="8" t="s">
        <v>11</v>
      </c>
      <c r="C4" s="9">
        <v>1102337604</v>
      </c>
      <c r="D4" s="10">
        <f>+C4-151000000-439000000+36450000-120000000-32851872</f>
        <v>395935732</v>
      </c>
      <c r="E4" s="11">
        <f>+CONSOLIDADO!G54</f>
        <v>395935732</v>
      </c>
      <c r="F4" s="16">
        <f t="shared" ref="F4:F45" si="0">+E4-D4</f>
        <v>0</v>
      </c>
      <c r="G4" s="12" t="s">
        <v>12</v>
      </c>
      <c r="H4" s="13" t="s">
        <v>13</v>
      </c>
      <c r="I4" s="14"/>
    </row>
    <row r="5" spans="1:10" s="15" customFormat="1" x14ac:dyDescent="0.25">
      <c r="A5" s="7">
        <v>4</v>
      </c>
      <c r="B5" s="8" t="s">
        <v>14</v>
      </c>
      <c r="C5" s="9">
        <v>1080000000</v>
      </c>
      <c r="D5" s="10">
        <f>+C5-917000000</f>
        <v>163000000</v>
      </c>
      <c r="E5" s="11">
        <f>+CONSOLIDADO!G59</f>
        <v>163000000</v>
      </c>
      <c r="F5" s="16">
        <f t="shared" si="0"/>
        <v>0</v>
      </c>
      <c r="G5" s="12">
        <v>17</v>
      </c>
      <c r="H5" s="17">
        <v>44013</v>
      </c>
      <c r="I5" s="14"/>
    </row>
    <row r="6" spans="1:10" s="15" customFormat="1" ht="47.25" x14ac:dyDescent="0.25">
      <c r="A6" s="7">
        <v>5</v>
      </c>
      <c r="B6" s="8" t="s">
        <v>15</v>
      </c>
      <c r="C6" s="9">
        <v>6400000000</v>
      </c>
      <c r="D6" s="10">
        <f>+C6+917000000-5402827-2162728734</f>
        <v>5148868439</v>
      </c>
      <c r="E6" s="11">
        <f>+CONSOLIDADO!G61</f>
        <v>5148868439</v>
      </c>
      <c r="F6" s="16">
        <f t="shared" si="0"/>
        <v>0</v>
      </c>
      <c r="G6" s="12" t="s">
        <v>16</v>
      </c>
      <c r="H6" s="13" t="s">
        <v>17</v>
      </c>
      <c r="I6" s="14"/>
    </row>
    <row r="7" spans="1:10" s="15" customFormat="1" ht="31.5" x14ac:dyDescent="0.25">
      <c r="A7" s="7">
        <v>6</v>
      </c>
      <c r="B7" s="8" t="s">
        <v>18</v>
      </c>
      <c r="C7" s="9">
        <v>1400000000</v>
      </c>
      <c r="D7" s="10">
        <f>+C7-350000000-502000000</f>
        <v>548000000</v>
      </c>
      <c r="E7" s="11">
        <f>+CONSOLIDADO!G63</f>
        <v>548000000</v>
      </c>
      <c r="F7" s="9">
        <f t="shared" si="0"/>
        <v>0</v>
      </c>
      <c r="G7" s="12" t="s">
        <v>19</v>
      </c>
      <c r="H7" s="13" t="s">
        <v>20</v>
      </c>
      <c r="I7" s="14"/>
    </row>
    <row r="8" spans="1:10" s="15" customFormat="1" ht="141.75" x14ac:dyDescent="0.25">
      <c r="A8" s="7">
        <v>7</v>
      </c>
      <c r="B8" s="8" t="s">
        <v>21</v>
      </c>
      <c r="C8" s="9">
        <v>10681961378</v>
      </c>
      <c r="D8" s="10">
        <f>+C8+334557666+90000000+260000000+50000000+120000000+164955546-120000000-2736902+290217430+620000000</f>
        <v>12488955118</v>
      </c>
      <c r="E8" s="11">
        <f>+CONSOLIDADO!G65</f>
        <v>12488955118</v>
      </c>
      <c r="F8" s="9">
        <f t="shared" si="0"/>
        <v>0</v>
      </c>
      <c r="G8" s="12" t="s">
        <v>111</v>
      </c>
      <c r="H8" s="13" t="s">
        <v>112</v>
      </c>
      <c r="I8" s="14"/>
    </row>
    <row r="9" spans="1:10" ht="126" x14ac:dyDescent="0.25">
      <c r="A9" s="7">
        <v>8</v>
      </c>
      <c r="B9" s="8" t="s">
        <v>22</v>
      </c>
      <c r="C9" s="9">
        <v>3611983376</v>
      </c>
      <c r="D9" s="10">
        <f>+C9-260000000-65158382-1203196481</f>
        <v>2083628513</v>
      </c>
      <c r="E9" s="11">
        <f>+CONSOLIDADO!G70</f>
        <v>2083628513</v>
      </c>
      <c r="F9" s="9">
        <f t="shared" si="0"/>
        <v>0</v>
      </c>
      <c r="G9" s="12" t="s">
        <v>23</v>
      </c>
      <c r="H9" s="13" t="s">
        <v>24</v>
      </c>
      <c r="I9" s="14"/>
    </row>
    <row r="10" spans="1:10" ht="94.5" x14ac:dyDescent="0.25">
      <c r="A10" s="7">
        <v>9</v>
      </c>
      <c r="B10" s="8" t="s">
        <v>25</v>
      </c>
      <c r="C10" s="9">
        <v>375155772</v>
      </c>
      <c r="D10" s="10">
        <f>+C10-16655772-154405070-59094930</f>
        <v>145000000</v>
      </c>
      <c r="E10" s="11">
        <f>+CONSOLIDADO!G71</f>
        <v>145000000</v>
      </c>
      <c r="F10" s="16">
        <f t="shared" si="0"/>
        <v>0</v>
      </c>
      <c r="G10" s="12" t="s">
        <v>26</v>
      </c>
      <c r="H10" s="13" t="s">
        <v>27</v>
      </c>
      <c r="I10" s="14"/>
      <c r="J10" s="32"/>
    </row>
    <row r="11" spans="1:10" ht="63" x14ac:dyDescent="0.25">
      <c r="A11" s="7">
        <v>10</v>
      </c>
      <c r="B11" s="8" t="s">
        <v>28</v>
      </c>
      <c r="C11" s="9">
        <v>1776000000</v>
      </c>
      <c r="D11" s="10">
        <f>+C11+682087004+1544611584-126268000-145535487</f>
        <v>3730895101</v>
      </c>
      <c r="E11" s="11">
        <f>+CONSOLIDADO!G72</f>
        <v>3730895101</v>
      </c>
      <c r="F11" s="9">
        <f t="shared" si="0"/>
        <v>0</v>
      </c>
      <c r="G11" s="12" t="s">
        <v>109</v>
      </c>
      <c r="H11" s="13" t="s">
        <v>110</v>
      </c>
      <c r="I11" s="14"/>
    </row>
    <row r="12" spans="1:10" ht="78.75" x14ac:dyDescent="0.25">
      <c r="A12" s="7">
        <v>11</v>
      </c>
      <c r="B12" s="8" t="s">
        <v>29</v>
      </c>
      <c r="C12" s="9">
        <v>1406286090</v>
      </c>
      <c r="D12" s="10">
        <f>+C12-275000000-60000000-25061400-20000000+136181246+33089140+250000000</f>
        <v>1445495076</v>
      </c>
      <c r="E12" s="11">
        <f>+CONSOLIDADO!G75</f>
        <v>1445495076</v>
      </c>
      <c r="F12" s="9">
        <f t="shared" si="0"/>
        <v>0</v>
      </c>
      <c r="G12" s="12" t="s">
        <v>30</v>
      </c>
      <c r="H12" s="13" t="s">
        <v>31</v>
      </c>
      <c r="I12" s="14"/>
    </row>
    <row r="13" spans="1:10" x14ac:dyDescent="0.25">
      <c r="A13" s="7">
        <v>12</v>
      </c>
      <c r="B13" s="8" t="s">
        <v>32</v>
      </c>
      <c r="C13" s="9">
        <v>113400000</v>
      </c>
      <c r="D13" s="10">
        <f>+C13</f>
        <v>113400000</v>
      </c>
      <c r="E13" s="11">
        <f>+CONSOLIDADO!G80</f>
        <v>113400000</v>
      </c>
      <c r="F13" s="9">
        <f t="shared" si="0"/>
        <v>0</v>
      </c>
      <c r="G13" s="12"/>
      <c r="H13" s="17"/>
      <c r="I13" s="14"/>
    </row>
    <row r="14" spans="1:10" ht="31.5" x14ac:dyDescent="0.25">
      <c r="A14" s="7">
        <v>13</v>
      </c>
      <c r="B14" s="8" t="s">
        <v>33</v>
      </c>
      <c r="C14" s="9">
        <v>51000000</v>
      </c>
      <c r="D14" s="10">
        <f>+C14-42000000</f>
        <v>9000000</v>
      </c>
      <c r="E14" s="11">
        <f>+CONSOLIDADO!G81</f>
        <v>9000000</v>
      </c>
      <c r="F14" s="9">
        <f t="shared" si="0"/>
        <v>0</v>
      </c>
      <c r="G14" s="12">
        <v>28</v>
      </c>
      <c r="H14" s="13" t="s">
        <v>34</v>
      </c>
      <c r="I14" s="14"/>
    </row>
    <row r="15" spans="1:10" ht="94.5" x14ac:dyDescent="0.25">
      <c r="A15" s="7">
        <v>14</v>
      </c>
      <c r="B15" s="8" t="s">
        <v>35</v>
      </c>
      <c r="C15" s="9">
        <v>313564535</v>
      </c>
      <c r="D15" s="10">
        <f>+C15+275000000+84000000+20000000+111302400+27000000+40560000-100000000</f>
        <v>771426935</v>
      </c>
      <c r="E15" s="11">
        <f>+CONSOLIDADO!G83</f>
        <v>771426935</v>
      </c>
      <c r="F15" s="9">
        <f t="shared" si="0"/>
        <v>0</v>
      </c>
      <c r="G15" s="12" t="s">
        <v>36</v>
      </c>
      <c r="H15" s="13" t="s">
        <v>37</v>
      </c>
      <c r="I15" s="14"/>
    </row>
    <row r="16" spans="1:10" ht="78.75" x14ac:dyDescent="0.25">
      <c r="A16" s="7">
        <v>15</v>
      </c>
      <c r="B16" s="8" t="s">
        <v>38</v>
      </c>
      <c r="C16" s="9">
        <v>4619529206</v>
      </c>
      <c r="D16" s="10">
        <f>+C16+63000000+50000000+100000000+21000000-11699458</f>
        <v>4841829748</v>
      </c>
      <c r="E16" s="11">
        <f>+CONSOLIDADO!G85</f>
        <v>4841829748</v>
      </c>
      <c r="F16" s="9">
        <f t="shared" si="0"/>
        <v>0</v>
      </c>
      <c r="G16" s="12" t="s">
        <v>39</v>
      </c>
      <c r="H16" s="13" t="s">
        <v>40</v>
      </c>
      <c r="I16" s="14"/>
    </row>
    <row r="17" spans="1:9" ht="47.25" x14ac:dyDescent="0.25">
      <c r="A17" s="7">
        <v>16</v>
      </c>
      <c r="B17" s="8" t="s">
        <v>41</v>
      </c>
      <c r="C17" s="9">
        <v>2326501571</v>
      </c>
      <c r="D17" s="10">
        <f>+C17-541696000-201000000-340000000</f>
        <v>1243805571</v>
      </c>
      <c r="E17" s="11">
        <f>+CONSOLIDADO!G96</f>
        <v>1243805571</v>
      </c>
      <c r="F17" s="16">
        <f t="shared" si="0"/>
        <v>0</v>
      </c>
      <c r="G17" s="12" t="s">
        <v>42</v>
      </c>
      <c r="H17" s="13" t="s">
        <v>43</v>
      </c>
      <c r="I17" s="14"/>
    </row>
    <row r="18" spans="1:9" ht="47.25" x14ac:dyDescent="0.25">
      <c r="A18" s="7">
        <v>17</v>
      </c>
      <c r="B18" s="8" t="s">
        <v>44</v>
      </c>
      <c r="C18" s="9">
        <v>893713037</v>
      </c>
      <c r="D18" s="10">
        <f>+C18-207705374-50000000</f>
        <v>636007663</v>
      </c>
      <c r="E18" s="11">
        <f>+CONSOLIDADO!G107</f>
        <v>636007663</v>
      </c>
      <c r="F18" s="16">
        <f t="shared" si="0"/>
        <v>0</v>
      </c>
      <c r="G18" s="12" t="s">
        <v>45</v>
      </c>
      <c r="H18" s="13" t="s">
        <v>46</v>
      </c>
      <c r="I18" s="14"/>
    </row>
    <row r="19" spans="1:9" ht="31.5" x14ac:dyDescent="0.25">
      <c r="A19" s="7">
        <v>18</v>
      </c>
      <c r="B19" s="8" t="s">
        <v>47</v>
      </c>
      <c r="C19" s="9">
        <v>344966442</v>
      </c>
      <c r="D19" s="10">
        <f>+C19-30000000</f>
        <v>314966442</v>
      </c>
      <c r="E19" s="11">
        <f>+CONSOLIDADO!G109</f>
        <v>314966442</v>
      </c>
      <c r="F19" s="9">
        <f t="shared" si="0"/>
        <v>0</v>
      </c>
      <c r="G19" s="12">
        <v>28</v>
      </c>
      <c r="H19" s="17">
        <v>44084</v>
      </c>
      <c r="I19" s="14"/>
    </row>
    <row r="20" spans="1:9" ht="31.5" x14ac:dyDescent="0.25">
      <c r="A20" s="7">
        <v>19</v>
      </c>
      <c r="B20" s="8" t="s">
        <v>48</v>
      </c>
      <c r="C20" s="9">
        <v>122300000</v>
      </c>
      <c r="D20" s="10">
        <f>+C20-57294626+50000000</f>
        <v>115005374</v>
      </c>
      <c r="E20" s="11">
        <f>+CONSOLIDADO!G110</f>
        <v>115005374</v>
      </c>
      <c r="F20" s="9">
        <f t="shared" si="0"/>
        <v>0</v>
      </c>
      <c r="G20" s="12" t="s">
        <v>49</v>
      </c>
      <c r="H20" s="13" t="s">
        <v>50</v>
      </c>
      <c r="I20" s="14"/>
    </row>
    <row r="21" spans="1:9" ht="63" x14ac:dyDescent="0.25">
      <c r="A21" s="7">
        <v>20</v>
      </c>
      <c r="B21" s="8" t="s">
        <v>51</v>
      </c>
      <c r="C21" s="9">
        <v>1941000000</v>
      </c>
      <c r="D21" s="10">
        <f>+C21-334557666+26000000-498441622-94024093</f>
        <v>1039976619</v>
      </c>
      <c r="E21" s="11">
        <f>+CONSOLIDADO!G111</f>
        <v>1039976619</v>
      </c>
      <c r="F21" s="16">
        <f t="shared" si="0"/>
        <v>0</v>
      </c>
      <c r="G21" s="12" t="s">
        <v>52</v>
      </c>
      <c r="H21" s="13" t="s">
        <v>53</v>
      </c>
      <c r="I21" s="14"/>
    </row>
    <row r="22" spans="1:9" ht="94.5" x14ac:dyDescent="0.25">
      <c r="A22" s="7">
        <v>21</v>
      </c>
      <c r="B22" s="8" t="s">
        <v>54</v>
      </c>
      <c r="C22" s="9">
        <v>3900000000</v>
      </c>
      <c r="D22" s="10">
        <f>+C22+151000000-161910000+670690463+600000000-200000000+130000000</f>
        <v>5089780463</v>
      </c>
      <c r="E22" s="11">
        <f>+CONSOLIDADO!G113</f>
        <v>5089780463</v>
      </c>
      <c r="F22" s="9">
        <f t="shared" si="0"/>
        <v>0</v>
      </c>
      <c r="G22" s="12" t="s">
        <v>107</v>
      </c>
      <c r="H22" s="13" t="s">
        <v>108</v>
      </c>
      <c r="I22" s="14"/>
    </row>
    <row r="23" spans="1:9" ht="63" x14ac:dyDescent="0.25">
      <c r="A23" s="7">
        <v>22</v>
      </c>
      <c r="B23" s="8" t="s">
        <v>55</v>
      </c>
      <c r="C23" s="9">
        <v>70000000</v>
      </c>
      <c r="D23" s="10">
        <f>+C23+50000000+200000000+204000000+-195587652-4746341</f>
        <v>323666007</v>
      </c>
      <c r="E23" s="11">
        <f>+CONSOLIDADO!G115</f>
        <v>323666007</v>
      </c>
      <c r="F23" s="16">
        <f t="shared" si="0"/>
        <v>0</v>
      </c>
      <c r="G23" s="12" t="s">
        <v>56</v>
      </c>
      <c r="H23" s="13" t="s">
        <v>57</v>
      </c>
      <c r="I23" s="14"/>
    </row>
    <row r="24" spans="1:9" s="19" customFormat="1" ht="78.75" x14ac:dyDescent="0.25">
      <c r="A24" s="7">
        <v>23</v>
      </c>
      <c r="B24" s="8" t="s">
        <v>58</v>
      </c>
      <c r="C24" s="9">
        <v>1671322000</v>
      </c>
      <c r="D24" s="10">
        <f>+C24+720550000-3650000-12000000-1158517716-27000000-176741246</f>
        <v>1013963038</v>
      </c>
      <c r="E24" s="11">
        <f>+CONSOLIDADO!G118</f>
        <v>1013963038</v>
      </c>
      <c r="F24" s="16">
        <f t="shared" si="0"/>
        <v>0</v>
      </c>
      <c r="G24" s="12" t="s">
        <v>59</v>
      </c>
      <c r="H24" s="13" t="s">
        <v>60</v>
      </c>
      <c r="I24" s="14"/>
    </row>
    <row r="25" spans="1:9" ht="31.5" x14ac:dyDescent="0.25">
      <c r="A25" s="7">
        <v>24</v>
      </c>
      <c r="B25" s="8" t="s">
        <v>61</v>
      </c>
      <c r="C25" s="9">
        <v>60000000</v>
      </c>
      <c r="D25" s="10">
        <f>+C25-36450000</f>
        <v>23550000</v>
      </c>
      <c r="E25" s="11">
        <f>+CONSOLIDADO!G121</f>
        <v>23550000</v>
      </c>
      <c r="F25" s="9">
        <f t="shared" si="0"/>
        <v>0</v>
      </c>
      <c r="G25" s="20" t="s">
        <v>62</v>
      </c>
      <c r="H25" s="13" t="s">
        <v>63</v>
      </c>
      <c r="I25" s="14"/>
    </row>
    <row r="26" spans="1:9" ht="78.75" x14ac:dyDescent="0.25">
      <c r="A26" s="7">
        <v>25</v>
      </c>
      <c r="B26" s="8" t="s">
        <v>64</v>
      </c>
      <c r="C26" s="9">
        <v>2021409124</v>
      </c>
      <c r="D26" s="10">
        <f>+C26+66430489-138925393+25061400-70000000-10417519</f>
        <v>1893558101</v>
      </c>
      <c r="E26" s="11">
        <f>+CONSOLIDADO!G122</f>
        <v>1893558101</v>
      </c>
      <c r="F26" s="16">
        <f>+E26-D26</f>
        <v>0</v>
      </c>
      <c r="G26" s="12" t="s">
        <v>65</v>
      </c>
      <c r="H26" s="13" t="s">
        <v>66</v>
      </c>
      <c r="I26" s="14" t="s">
        <v>67</v>
      </c>
    </row>
    <row r="27" spans="1:9" ht="31.5" x14ac:dyDescent="0.25">
      <c r="A27" s="7">
        <v>26</v>
      </c>
      <c r="B27" s="8" t="s">
        <v>68</v>
      </c>
      <c r="C27" s="9">
        <v>120000000</v>
      </c>
      <c r="D27" s="10">
        <f>+C27-43000000</f>
        <v>77000000</v>
      </c>
      <c r="E27" s="11">
        <f>+CONSOLIDADO!G124</f>
        <v>77000000</v>
      </c>
      <c r="F27" s="16">
        <f t="shared" si="0"/>
        <v>0</v>
      </c>
      <c r="G27" s="12">
        <v>19</v>
      </c>
      <c r="H27" s="17">
        <v>44025</v>
      </c>
      <c r="I27" s="14"/>
    </row>
    <row r="28" spans="1:9" x14ac:dyDescent="0.25">
      <c r="A28" s="7">
        <v>27</v>
      </c>
      <c r="B28" s="8" t="s">
        <v>69</v>
      </c>
      <c r="C28" s="9">
        <v>158000000</v>
      </c>
      <c r="D28" s="10">
        <f>+C28</f>
        <v>158000000</v>
      </c>
      <c r="E28" s="11">
        <f>+CONSOLIDADO!G127</f>
        <v>158000000</v>
      </c>
      <c r="F28" s="9">
        <f t="shared" si="0"/>
        <v>0</v>
      </c>
      <c r="G28" s="12"/>
      <c r="H28" s="17"/>
      <c r="I28" s="14"/>
    </row>
    <row r="29" spans="1:9" x14ac:dyDescent="0.25">
      <c r="A29" s="7">
        <v>28</v>
      </c>
      <c r="B29" s="8" t="s">
        <v>70</v>
      </c>
      <c r="C29" s="9">
        <v>100000000</v>
      </c>
      <c r="D29" s="10">
        <f>+C29-47606264</f>
        <v>52393736</v>
      </c>
      <c r="E29" s="11">
        <f>+CONSOLIDADO!G128</f>
        <v>52393736</v>
      </c>
      <c r="F29" s="9">
        <f t="shared" si="0"/>
        <v>0</v>
      </c>
      <c r="G29" s="12">
        <v>44</v>
      </c>
      <c r="H29" s="17">
        <v>44145</v>
      </c>
      <c r="I29" s="14"/>
    </row>
    <row r="30" spans="1:9" x14ac:dyDescent="0.25">
      <c r="A30" s="7">
        <v>29</v>
      </c>
      <c r="B30" s="8" t="s">
        <v>71</v>
      </c>
      <c r="C30" s="9">
        <v>264000000</v>
      </c>
      <c r="D30" s="10">
        <f>+C30-72990940</f>
        <v>191009060</v>
      </c>
      <c r="E30" s="11">
        <f>+CONSOLIDADO!G129</f>
        <v>191009060</v>
      </c>
      <c r="F30" s="9">
        <f t="shared" si="0"/>
        <v>0</v>
      </c>
      <c r="G30" s="12">
        <v>44</v>
      </c>
      <c r="H30" s="17">
        <v>44145</v>
      </c>
      <c r="I30" s="14"/>
    </row>
    <row r="31" spans="1:9" ht="31.5" x14ac:dyDescent="0.25">
      <c r="A31" s="7">
        <v>30</v>
      </c>
      <c r="B31" s="8" t="s">
        <v>72</v>
      </c>
      <c r="C31" s="9">
        <v>20000000</v>
      </c>
      <c r="D31" s="10">
        <f>+C31</f>
        <v>20000000</v>
      </c>
      <c r="E31" s="11">
        <f>+CONSOLIDADO!G131</f>
        <v>20000000</v>
      </c>
      <c r="F31" s="9">
        <f t="shared" si="0"/>
        <v>0</v>
      </c>
      <c r="G31" s="12"/>
      <c r="H31" s="17"/>
      <c r="I31" s="14"/>
    </row>
    <row r="32" spans="1:9" ht="31.5" x14ac:dyDescent="0.25">
      <c r="A32" s="7">
        <v>31</v>
      </c>
      <c r="B32" s="8" t="s">
        <v>73</v>
      </c>
      <c r="C32" s="9">
        <v>160000000</v>
      </c>
      <c r="D32" s="10">
        <f>+C32</f>
        <v>160000000</v>
      </c>
      <c r="E32" s="11">
        <f>+CONSOLIDADO!G132</f>
        <v>160000000</v>
      </c>
      <c r="F32" s="9">
        <f t="shared" si="0"/>
        <v>0</v>
      </c>
      <c r="G32" s="12"/>
      <c r="H32" s="17"/>
      <c r="I32" s="14"/>
    </row>
    <row r="33" spans="1:10" ht="63" x14ac:dyDescent="0.25">
      <c r="A33" s="7">
        <v>32</v>
      </c>
      <c r="B33" s="8" t="s">
        <v>74</v>
      </c>
      <c r="C33" s="9">
        <v>1015000000</v>
      </c>
      <c r="D33" s="10">
        <f>+C33-70000000-63000000-102000000+133000000-52815420</f>
        <v>860184580</v>
      </c>
      <c r="E33" s="11">
        <f>+CONSOLIDADO!G133</f>
        <v>860184580</v>
      </c>
      <c r="F33" s="16">
        <f t="shared" si="0"/>
        <v>0</v>
      </c>
      <c r="G33" s="12" t="s">
        <v>75</v>
      </c>
      <c r="H33" s="13" t="s">
        <v>76</v>
      </c>
      <c r="I33" s="14"/>
    </row>
    <row r="34" spans="1:10" ht="141.75" x14ac:dyDescent="0.25">
      <c r="A34" s="7">
        <v>33</v>
      </c>
      <c r="B34" s="8" t="s">
        <v>77</v>
      </c>
      <c r="C34" s="9">
        <v>4267573858</v>
      </c>
      <c r="D34" s="10">
        <f>+C34-50000000-26000000+4327855-50000000-133000000-302000000+405752039-100000000-804831</f>
        <v>4015848921</v>
      </c>
      <c r="E34" s="11">
        <f>+CONSOLIDADO!G135</f>
        <v>4015848921</v>
      </c>
      <c r="F34" s="16">
        <f t="shared" si="0"/>
        <v>0</v>
      </c>
      <c r="G34" s="12" t="s">
        <v>78</v>
      </c>
      <c r="H34" s="13" t="s">
        <v>79</v>
      </c>
      <c r="I34" s="14"/>
    </row>
    <row r="35" spans="1:10" ht="31.5" x14ac:dyDescent="0.25">
      <c r="A35" s="7">
        <v>34</v>
      </c>
      <c r="B35" s="8" t="s">
        <v>80</v>
      </c>
      <c r="C35" s="9">
        <v>192000000</v>
      </c>
      <c r="D35" s="10">
        <f>+C35+43000000</f>
        <v>235000000</v>
      </c>
      <c r="E35" s="11">
        <f>+CONSOLIDADO!G138</f>
        <v>235000000</v>
      </c>
      <c r="F35" s="9">
        <f t="shared" si="0"/>
        <v>0</v>
      </c>
      <c r="G35" s="12">
        <v>3</v>
      </c>
      <c r="H35" s="17">
        <v>43875</v>
      </c>
      <c r="I35" s="14"/>
    </row>
    <row r="36" spans="1:10" x14ac:dyDescent="0.25">
      <c r="A36" s="7">
        <v>35</v>
      </c>
      <c r="B36" s="8" t="s">
        <v>81</v>
      </c>
      <c r="C36" s="9">
        <v>15000000</v>
      </c>
      <c r="D36" s="10">
        <f>+C36</f>
        <v>15000000</v>
      </c>
      <c r="E36" s="11">
        <f>+CONSOLIDADO!G139</f>
        <v>15000000</v>
      </c>
      <c r="F36" s="9">
        <f t="shared" si="0"/>
        <v>0</v>
      </c>
      <c r="G36" s="12"/>
      <c r="H36" s="17"/>
      <c r="I36" s="14"/>
    </row>
    <row r="37" spans="1:10" ht="31.5" x14ac:dyDescent="0.25">
      <c r="A37" s="7">
        <v>36</v>
      </c>
      <c r="B37" s="8" t="s">
        <v>82</v>
      </c>
      <c r="C37" s="9">
        <v>543000000</v>
      </c>
      <c r="D37" s="10">
        <f>+C37-84000000-129402796</f>
        <v>329597204</v>
      </c>
      <c r="E37" s="11">
        <f>+CONSOLIDADO!G140</f>
        <v>329597204</v>
      </c>
      <c r="F37" s="9">
        <f t="shared" si="0"/>
        <v>0</v>
      </c>
      <c r="G37" s="12" t="s">
        <v>83</v>
      </c>
      <c r="H37" s="13" t="s">
        <v>84</v>
      </c>
      <c r="I37" s="14"/>
    </row>
    <row r="38" spans="1:10" ht="63" x14ac:dyDescent="0.25">
      <c r="A38" s="7">
        <v>37</v>
      </c>
      <c r="B38" s="8" t="s">
        <v>85</v>
      </c>
      <c r="C38" s="9">
        <v>5078934222</v>
      </c>
      <c r="D38" s="10">
        <f>+C38+70000000+320000000+102000000+240000000-204000000</f>
        <v>5606934222</v>
      </c>
      <c r="E38" s="11">
        <f>+CONSOLIDADO!G141</f>
        <v>5606934222</v>
      </c>
      <c r="F38" s="16">
        <f t="shared" si="0"/>
        <v>0</v>
      </c>
      <c r="G38" s="12" t="s">
        <v>86</v>
      </c>
      <c r="H38" s="13" t="s">
        <v>87</v>
      </c>
      <c r="I38" s="14"/>
    </row>
    <row r="39" spans="1:10" ht="63" x14ac:dyDescent="0.25">
      <c r="A39" s="7">
        <v>38</v>
      </c>
      <c r="B39" s="8" t="s">
        <v>88</v>
      </c>
      <c r="C39" s="9">
        <v>200000000</v>
      </c>
      <c r="D39" s="10">
        <f>+C39-62780489-20000000-33089140-5241933</f>
        <v>78888438</v>
      </c>
      <c r="E39" s="11">
        <f>+CONSOLIDADO!G142</f>
        <v>78888438</v>
      </c>
      <c r="F39" s="9">
        <f t="shared" si="0"/>
        <v>0</v>
      </c>
      <c r="G39" s="12" t="s">
        <v>89</v>
      </c>
      <c r="H39" s="13" t="s">
        <v>90</v>
      </c>
      <c r="I39" s="14"/>
    </row>
    <row r="40" spans="1:10" x14ac:dyDescent="0.25">
      <c r="A40" s="7">
        <v>39</v>
      </c>
      <c r="B40" s="8" t="s">
        <v>91</v>
      </c>
      <c r="C40" s="9">
        <v>75000000</v>
      </c>
      <c r="D40" s="10">
        <f>+C40</f>
        <v>75000000</v>
      </c>
      <c r="E40" s="11">
        <f>+CONSOLIDADO!G144</f>
        <v>75000000</v>
      </c>
      <c r="F40" s="9">
        <f t="shared" si="0"/>
        <v>0</v>
      </c>
      <c r="G40" s="12">
        <v>33</v>
      </c>
      <c r="H40" s="17">
        <v>44106</v>
      </c>
      <c r="I40" s="14"/>
    </row>
    <row r="41" spans="1:10" ht="63" x14ac:dyDescent="0.25">
      <c r="A41" s="7">
        <v>40</v>
      </c>
      <c r="B41" s="8" t="s">
        <v>92</v>
      </c>
      <c r="C41" s="9">
        <v>491500000</v>
      </c>
      <c r="D41" s="10">
        <f>+C41+602472304+448441622+41500000+30000000-38478657</f>
        <v>1575435269</v>
      </c>
      <c r="E41" s="11">
        <f>+CONSOLIDADO!G146-159986160</f>
        <v>1575435269</v>
      </c>
      <c r="F41" s="16">
        <f t="shared" si="0"/>
        <v>0</v>
      </c>
      <c r="G41" s="12" t="s">
        <v>93</v>
      </c>
      <c r="H41" s="13" t="s">
        <v>94</v>
      </c>
      <c r="I41" s="14"/>
    </row>
    <row r="42" spans="1:10" x14ac:dyDescent="0.25">
      <c r="A42" s="7">
        <v>41</v>
      </c>
      <c r="B42" s="8" t="s">
        <v>95</v>
      </c>
      <c r="C42" s="9">
        <v>159986160</v>
      </c>
      <c r="D42" s="10">
        <f>+C42</f>
        <v>159986160</v>
      </c>
      <c r="E42" s="11">
        <v>159986160</v>
      </c>
      <c r="F42" s="9">
        <f t="shared" si="0"/>
        <v>0</v>
      </c>
      <c r="G42" s="12"/>
      <c r="H42" s="17"/>
      <c r="I42" s="14"/>
    </row>
    <row r="43" spans="1:10" ht="31.5" x14ac:dyDescent="0.25">
      <c r="A43" s="7">
        <v>42</v>
      </c>
      <c r="B43" s="21" t="s">
        <v>96</v>
      </c>
      <c r="C43" s="9">
        <v>40000000</v>
      </c>
      <c r="D43" s="10">
        <f>+C43+30000000</f>
        <v>70000000</v>
      </c>
      <c r="E43" s="11">
        <f>+CONSOLIDADO!G148</f>
        <v>70000000</v>
      </c>
      <c r="F43" s="9">
        <f t="shared" si="0"/>
        <v>0</v>
      </c>
      <c r="G43" s="12" t="s">
        <v>97</v>
      </c>
      <c r="H43" s="13" t="s">
        <v>98</v>
      </c>
      <c r="I43" s="14" t="s">
        <v>99</v>
      </c>
    </row>
    <row r="44" spans="1:10" x14ac:dyDescent="0.25">
      <c r="A44" s="7">
        <v>43</v>
      </c>
      <c r="B44" s="21" t="s">
        <v>100</v>
      </c>
      <c r="C44" s="9">
        <v>60000000</v>
      </c>
      <c r="D44" s="10">
        <f>+C44</f>
        <v>60000000</v>
      </c>
      <c r="E44" s="11">
        <f>+CONSOLIDADO!G149</f>
        <v>60000000</v>
      </c>
      <c r="F44" s="9">
        <f t="shared" si="0"/>
        <v>0</v>
      </c>
      <c r="G44" s="12">
        <v>20</v>
      </c>
      <c r="H44" s="17">
        <v>44043</v>
      </c>
      <c r="I44" s="14" t="s">
        <v>101</v>
      </c>
    </row>
    <row r="45" spans="1:10" ht="63" x14ac:dyDescent="0.25">
      <c r="A45" s="7">
        <v>44</v>
      </c>
      <c r="B45" s="21" t="s">
        <v>102</v>
      </c>
      <c r="C45" s="9">
        <v>1000000000</v>
      </c>
      <c r="D45" s="10">
        <f>+C45+1500000000-2000000000-490000000</f>
        <v>10000000</v>
      </c>
      <c r="E45" s="10">
        <f>+CONSOLIDADO!G150</f>
        <v>10000000</v>
      </c>
      <c r="F45" s="9">
        <f t="shared" si="0"/>
        <v>0</v>
      </c>
      <c r="G45" s="12" t="s">
        <v>113</v>
      </c>
      <c r="H45" s="13" t="s">
        <v>114</v>
      </c>
      <c r="I45" s="14" t="s">
        <v>103</v>
      </c>
    </row>
    <row r="46" spans="1:10" x14ac:dyDescent="0.25">
      <c r="A46" s="7">
        <v>45</v>
      </c>
      <c r="B46" s="21" t="s">
        <v>104</v>
      </c>
      <c r="C46" s="9">
        <v>100000000</v>
      </c>
      <c r="D46" s="10">
        <f>+C46</f>
        <v>100000000</v>
      </c>
      <c r="E46" s="10">
        <f>+CONSOLIDADO!G151</f>
        <v>100000000</v>
      </c>
      <c r="F46" s="9">
        <f>+E46-D46</f>
        <v>0</v>
      </c>
      <c r="G46" s="14">
        <v>41</v>
      </c>
      <c r="H46" s="17">
        <v>44134</v>
      </c>
      <c r="I46" s="14" t="s">
        <v>105</v>
      </c>
    </row>
    <row r="47" spans="1:10" s="24" customFormat="1" x14ac:dyDescent="0.25">
      <c r="A47" s="60" t="s">
        <v>106</v>
      </c>
      <c r="B47" s="60"/>
      <c r="C47" s="22">
        <f>SUM(C2:C46)</f>
        <v>80217945821</v>
      </c>
      <c r="D47" s="23">
        <f>SUM(D2:D46)</f>
        <v>81496928179</v>
      </c>
      <c r="E47" s="23">
        <f>SUM(E2:E46)</f>
        <v>81496928179</v>
      </c>
      <c r="G47" s="18"/>
      <c r="H47" s="18"/>
      <c r="I47" s="18"/>
      <c r="J47" s="18"/>
    </row>
    <row r="48" spans="1:10" s="24" customFormat="1" x14ac:dyDescent="0.25">
      <c r="A48" s="25"/>
      <c r="B48" s="18"/>
      <c r="D48" s="26"/>
      <c r="E48" s="18"/>
      <c r="G48" s="18"/>
      <c r="H48" s="18"/>
      <c r="I48" s="18"/>
      <c r="J48" s="18"/>
    </row>
    <row r="49" spans="1:10" s="24" customFormat="1" x14ac:dyDescent="0.25">
      <c r="A49" s="25"/>
      <c r="B49" s="27"/>
      <c r="D49" s="28"/>
      <c r="E49" s="18"/>
      <c r="G49" s="18"/>
      <c r="H49" s="18"/>
      <c r="I49" s="18"/>
      <c r="J49" s="18"/>
    </row>
    <row r="50" spans="1:10" s="24" customFormat="1" x14ac:dyDescent="0.25">
      <c r="A50" s="25"/>
      <c r="B50" s="27"/>
      <c r="D50" s="28"/>
      <c r="E50" s="18"/>
      <c r="G50" s="18"/>
      <c r="H50" s="18"/>
      <c r="I50" s="18"/>
      <c r="J50" s="18"/>
    </row>
    <row r="52" spans="1:10" s="24" customFormat="1" x14ac:dyDescent="0.25">
      <c r="A52" s="25"/>
      <c r="B52" s="29"/>
      <c r="D52" s="18"/>
      <c r="E52" s="18"/>
      <c r="G52" s="18"/>
      <c r="H52" s="18"/>
      <c r="I52" s="18"/>
      <c r="J52" s="18"/>
    </row>
    <row r="55" spans="1:10" s="24" customFormat="1" x14ac:dyDescent="0.25">
      <c r="A55" s="25"/>
      <c r="B55" s="30"/>
      <c r="D55" s="31"/>
      <c r="E55" s="18"/>
      <c r="G55" s="18"/>
      <c r="H55" s="18"/>
      <c r="I55" s="18"/>
      <c r="J55" s="18"/>
    </row>
    <row r="56" spans="1:10" s="24" customFormat="1" x14ac:dyDescent="0.25">
      <c r="A56" s="25"/>
      <c r="B56" s="30"/>
      <c r="D56" s="18"/>
      <c r="E56" s="18"/>
      <c r="G56" s="18"/>
      <c r="H56" s="18"/>
      <c r="I56" s="18"/>
      <c r="J56" s="18"/>
    </row>
    <row r="57" spans="1:10" s="24" customFormat="1" x14ac:dyDescent="0.25">
      <c r="A57" s="25"/>
      <c r="B57" s="30"/>
      <c r="D57" s="18"/>
      <c r="E57" s="18"/>
      <c r="G57" s="18"/>
      <c r="H57" s="18"/>
      <c r="I57" s="18"/>
      <c r="J57" s="18"/>
    </row>
  </sheetData>
  <autoFilter ref="A1:J57" xr:uid="{B6D157ED-6F39-4CAE-AA6D-2071C1BDE064}"/>
  <mergeCells count="1">
    <mergeCell ref="A47:B47"/>
  </mergeCells>
  <pageMargins left="0.7" right="0.7" top="0.75" bottom="0.75" header="0.3" footer="0.3"/>
  <pageSetup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300D62C2CAA52468C2F5EA7EE9CB48C" ma:contentTypeVersion="11" ma:contentTypeDescription="Crear nuevo documento." ma:contentTypeScope="" ma:versionID="955878f642a43c80c03cabd93502e446">
  <xsd:schema xmlns:xsd="http://www.w3.org/2001/XMLSchema" xmlns:xs="http://www.w3.org/2001/XMLSchema" xmlns:p="http://schemas.microsoft.com/office/2006/metadata/properties" xmlns:ns3="87a6050e-69bc-4681-94ca-28185235b9c1" xmlns:ns4="e3b62702-7ad3-448d-98b4-a8adb595047e" targetNamespace="http://schemas.microsoft.com/office/2006/metadata/properties" ma:root="true" ma:fieldsID="4eb12cc9ed9281cce9e3a811e1bc039f" ns3:_="" ns4:_="">
    <xsd:import namespace="87a6050e-69bc-4681-94ca-28185235b9c1"/>
    <xsd:import namespace="e3b62702-7ad3-448d-98b4-a8adb595047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a6050e-69bc-4681-94ca-28185235b9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b62702-7ad3-448d-98b4-a8adb595047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8B111BC-A65B-455C-A375-09DAB99D9E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7a6050e-69bc-4681-94ca-28185235b9c1"/>
    <ds:schemaRef ds:uri="e3b62702-7ad3-448d-98b4-a8adb59504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8E1FEB-1507-4B29-9D6F-5988B4B3194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952CBE-5B5B-4A3C-924F-45FABE8EFC7B}">
  <ds:schemaRefs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schemas.microsoft.com/office/2006/metadata/properties"/>
    <ds:schemaRef ds:uri="e3b62702-7ad3-448d-98b4-a8adb595047e"/>
    <ds:schemaRef ds:uri="87a6050e-69bc-4681-94ca-28185235b9c1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CONSOLIDADO</vt:lpstr>
      <vt:lpstr>Ultima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Yeniffer Lorena Contreras Moreno</dc:creator>
  <cp:lastModifiedBy>Maria teresa Manzano Borja</cp:lastModifiedBy>
  <dcterms:created xsi:type="dcterms:W3CDTF">2020-12-02T21:36:46Z</dcterms:created>
  <dcterms:modified xsi:type="dcterms:W3CDTF">2021-02-01T23:05:06Z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0x0101007300D62C2CAA52468C2F5EA7EE9CB48C</vt:lpwstr>
  </property>
</Properties>
</file>