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hidePivotFieldList="1" defaultThemeVersion="124226"/>
  <mc:AlternateContent xmlns:mc="http://schemas.openxmlformats.org/markup-compatibility/2006">
    <mc:Choice Requires="x15">
      <x15ac:absPath xmlns:x15ac="http://schemas.microsoft.com/office/spreadsheetml/2010/11/ac" url="https://saesas-my.sharepoint.com/personal/ccampos_saesas_gov_co/Documents/Escritorio/"/>
    </mc:Choice>
  </mc:AlternateContent>
  <xr:revisionPtr revIDLastSave="834" documentId="8_{BEB9B442-921E-42D4-98AE-173796347F6C}" xr6:coauthVersionLast="47" xr6:coauthVersionMax="47" xr10:uidLastSave="{1CEF317A-B1C8-40FC-B2DE-6BDBB0D66CC1}"/>
  <bookViews>
    <workbookView xWindow="-120" yWindow="-120" windowWidth="20730" windowHeight="11160" tabRatio="882" xr2:uid="{00000000-000D-0000-FFFF-FFFF00000000}"/>
  </bookViews>
  <sheets>
    <sheet name="Mapa final" sheetId="1" r:id="rId1"/>
    <sheet name="Matriz Calor Inherente" sheetId="18" state="hidden" r:id="rId2"/>
    <sheet name="Matriz Calor Residual" sheetId="19" state="hidden" r:id="rId3"/>
    <sheet name="Tabla probabilidad" sheetId="12" r:id="rId4"/>
    <sheet name="Tabla Impacto" sheetId="13" r:id="rId5"/>
    <sheet name="Tabla Valoración controles" sheetId="15" r:id="rId6"/>
    <sheet name="Opciones Tratamiento" sheetId="16" state="hidden" r:id="rId7"/>
    <sheet name="Hoja1" sheetId="11" state="hidden"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calcPr calcId="191028"/>
  <pivotCaches>
    <pivotCache cacheId="0" r:id="rId2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58" i="1" l="1"/>
  <c r="U159" i="1"/>
  <c r="U183" i="1" l="1"/>
  <c r="R183" i="1"/>
  <c r="L183" i="1"/>
  <c r="U182" i="1"/>
  <c r="R182" i="1"/>
  <c r="L182" i="1"/>
  <c r="U181" i="1"/>
  <c r="R181" i="1"/>
  <c r="L181" i="1"/>
  <c r="U180" i="1"/>
  <c r="R180" i="1"/>
  <c r="L180" i="1"/>
  <c r="U179" i="1"/>
  <c r="R179" i="1"/>
  <c r="L179" i="1"/>
  <c r="U178" i="1"/>
  <c r="R178" i="1"/>
  <c r="L178" i="1"/>
  <c r="M178" i="1" s="1"/>
  <c r="I178" i="1"/>
  <c r="J178" i="1" s="1"/>
  <c r="R158" i="1"/>
  <c r="R159" i="1"/>
  <c r="U177" i="1"/>
  <c r="R177" i="1"/>
  <c r="L177" i="1"/>
  <c r="U176" i="1"/>
  <c r="R176" i="1"/>
  <c r="L176" i="1"/>
  <c r="U175" i="1"/>
  <c r="R175" i="1"/>
  <c r="L175" i="1"/>
  <c r="U174" i="1"/>
  <c r="R174" i="1"/>
  <c r="L174" i="1"/>
  <c r="U173" i="1"/>
  <c r="R173" i="1"/>
  <c r="L173" i="1"/>
  <c r="U172" i="1"/>
  <c r="R172" i="1"/>
  <c r="L172" i="1"/>
  <c r="M172" i="1" s="1"/>
  <c r="N172" i="1" s="1"/>
  <c r="I172" i="1"/>
  <c r="U171" i="1"/>
  <c r="R171" i="1"/>
  <c r="L171" i="1"/>
  <c r="U170" i="1"/>
  <c r="R170" i="1"/>
  <c r="L170" i="1"/>
  <c r="U169" i="1"/>
  <c r="R169" i="1"/>
  <c r="L169" i="1"/>
  <c r="U168" i="1"/>
  <c r="R168" i="1"/>
  <c r="L168" i="1"/>
  <c r="U167" i="1"/>
  <c r="R167" i="1"/>
  <c r="L167" i="1"/>
  <c r="U166" i="1"/>
  <c r="R166" i="1"/>
  <c r="L166" i="1"/>
  <c r="M166" i="1" s="1"/>
  <c r="I166" i="1"/>
  <c r="J166" i="1" s="1"/>
  <c r="U165" i="1"/>
  <c r="R165" i="1"/>
  <c r="L165" i="1"/>
  <c r="U164" i="1"/>
  <c r="R164" i="1"/>
  <c r="L164" i="1"/>
  <c r="U163" i="1"/>
  <c r="R163" i="1"/>
  <c r="L163" i="1"/>
  <c r="U162" i="1"/>
  <c r="R162" i="1"/>
  <c r="L162" i="1"/>
  <c r="U161" i="1"/>
  <c r="R161" i="1"/>
  <c r="L161" i="1"/>
  <c r="U160" i="1"/>
  <c r="R160" i="1"/>
  <c r="L160" i="1"/>
  <c r="M160" i="1" s="1"/>
  <c r="N160" i="1" s="1"/>
  <c r="I160" i="1"/>
  <c r="J160" i="1" s="1"/>
  <c r="U157" i="1"/>
  <c r="R157" i="1"/>
  <c r="L157" i="1"/>
  <c r="U156" i="1"/>
  <c r="R156" i="1"/>
  <c r="L156" i="1"/>
  <c r="U155" i="1"/>
  <c r="R155" i="1"/>
  <c r="L155" i="1"/>
  <c r="U154" i="1"/>
  <c r="R154" i="1"/>
  <c r="L154" i="1"/>
  <c r="U153" i="1"/>
  <c r="R153" i="1"/>
  <c r="L153" i="1"/>
  <c r="U152" i="1"/>
  <c r="R152" i="1"/>
  <c r="L152" i="1"/>
  <c r="M152" i="1" s="1"/>
  <c r="I152" i="1"/>
  <c r="J152" i="1" s="1"/>
  <c r="U151" i="1"/>
  <c r="R151" i="1"/>
  <c r="L151" i="1"/>
  <c r="U150" i="1"/>
  <c r="R150" i="1"/>
  <c r="L150" i="1"/>
  <c r="U149" i="1"/>
  <c r="R149" i="1"/>
  <c r="L149" i="1"/>
  <c r="U148" i="1"/>
  <c r="R148" i="1"/>
  <c r="L148" i="1"/>
  <c r="U147" i="1"/>
  <c r="R147" i="1"/>
  <c r="L147" i="1"/>
  <c r="U146" i="1"/>
  <c r="R146" i="1"/>
  <c r="L146" i="1"/>
  <c r="M146" i="1" s="1"/>
  <c r="I146" i="1"/>
  <c r="J146" i="1" s="1"/>
  <c r="Y182" i="1" l="1"/>
  <c r="AA182" i="1" s="1"/>
  <c r="AC183" i="1"/>
  <c r="AB183" i="1" s="1"/>
  <c r="Y183" i="1"/>
  <c r="AA183" i="1" s="1"/>
  <c r="O178" i="1"/>
  <c r="AN178" i="1" s="1"/>
  <c r="N178" i="1"/>
  <c r="AC178" i="1" s="1"/>
  <c r="AC182" i="1"/>
  <c r="AB182" i="1" s="1"/>
  <c r="Y178" i="1"/>
  <c r="AC177" i="1"/>
  <c r="AB177" i="1" s="1"/>
  <c r="O172" i="1"/>
  <c r="AN172" i="1" s="1"/>
  <c r="AC172" i="1"/>
  <c r="AB172" i="1" s="1"/>
  <c r="J172" i="1"/>
  <c r="Y172" i="1" s="1"/>
  <c r="Y177" i="1"/>
  <c r="Y149" i="1"/>
  <c r="AA149" i="1" s="1"/>
  <c r="Y170" i="1"/>
  <c r="AA170" i="1" s="1"/>
  <c r="Y169" i="1"/>
  <c r="AA169" i="1" s="1"/>
  <c r="O152" i="1"/>
  <c r="AN152" i="1" s="1"/>
  <c r="AC149" i="1"/>
  <c r="AB149" i="1" s="1"/>
  <c r="AC171" i="1"/>
  <c r="AB171" i="1" s="1"/>
  <c r="AC150" i="1"/>
  <c r="AB150" i="1" s="1"/>
  <c r="Y164" i="1"/>
  <c r="Z164" i="1" s="1"/>
  <c r="AC148" i="1"/>
  <c r="AB148" i="1" s="1"/>
  <c r="Y148" i="1"/>
  <c r="AA148" i="1" s="1"/>
  <c r="Y146" i="1"/>
  <c r="Z146" i="1" s="1"/>
  <c r="O160" i="1"/>
  <c r="AN160" i="1" s="1"/>
  <c r="AC165" i="1"/>
  <c r="AB165" i="1" s="1"/>
  <c r="AC168" i="1"/>
  <c r="AB168" i="1" s="1"/>
  <c r="AC170" i="1"/>
  <c r="AB170" i="1" s="1"/>
  <c r="AC164" i="1"/>
  <c r="AB164" i="1" s="1"/>
  <c r="AC169" i="1"/>
  <c r="AB169" i="1" s="1"/>
  <c r="O146" i="1"/>
  <c r="AN146" i="1" s="1"/>
  <c r="N146" i="1"/>
  <c r="AC146" i="1" s="1"/>
  <c r="AB146" i="1" s="1"/>
  <c r="O166" i="1"/>
  <c r="AN166" i="1" s="1"/>
  <c r="N166" i="1"/>
  <c r="AC166" i="1" s="1"/>
  <c r="AB166" i="1" s="1"/>
  <c r="AC160" i="1"/>
  <c r="AB160" i="1" s="1"/>
  <c r="N152" i="1"/>
  <c r="AC152" i="1" s="1"/>
  <c r="AB152" i="1" s="1"/>
  <c r="Y151" i="1"/>
  <c r="Y168" i="1"/>
  <c r="Y165" i="1"/>
  <c r="Y150" i="1"/>
  <c r="Y160" i="1"/>
  <c r="Y167" i="1"/>
  <c r="Y171" i="1"/>
  <c r="Y152" i="1"/>
  <c r="AC151" i="1"/>
  <c r="AB151" i="1" s="1"/>
  <c r="Y166" i="1"/>
  <c r="AC161" i="1"/>
  <c r="AB161" i="1" s="1"/>
  <c r="AC167" i="1"/>
  <c r="AB167" i="1" s="1"/>
  <c r="Z183" i="1" l="1"/>
  <c r="AD183" i="1" s="1"/>
  <c r="Z182" i="1"/>
  <c r="AD182" i="1" s="1"/>
  <c r="AB178" i="1"/>
  <c r="AC179" i="1"/>
  <c r="AB179" i="1" s="1"/>
  <c r="Z149" i="1"/>
  <c r="AD149" i="1" s="1"/>
  <c r="AC181" i="1"/>
  <c r="AB181" i="1" s="1"/>
  <c r="AA178" i="1"/>
  <c r="Y179" i="1" s="1"/>
  <c r="Z178" i="1"/>
  <c r="AD178" i="1" s="1"/>
  <c r="AC173" i="1"/>
  <c r="AB173" i="1" s="1"/>
  <c r="AA172" i="1"/>
  <c r="Y173" i="1" s="1"/>
  <c r="Z172" i="1"/>
  <c r="AD172" i="1" s="1"/>
  <c r="AA177" i="1"/>
  <c r="Z177" i="1"/>
  <c r="AD177" i="1" s="1"/>
  <c r="AA146" i="1"/>
  <c r="Y147" i="1" s="1"/>
  <c r="AA147" i="1" s="1"/>
  <c r="Z169" i="1"/>
  <c r="AD169" i="1" s="1"/>
  <c r="Z170" i="1"/>
  <c r="AD170" i="1" s="1"/>
  <c r="AC147" i="1"/>
  <c r="AB147" i="1" s="1"/>
  <c r="AC153" i="1"/>
  <c r="AB153" i="1" s="1"/>
  <c r="AA164" i="1"/>
  <c r="Z148" i="1"/>
  <c r="AD148" i="1" s="1"/>
  <c r="AC162" i="1"/>
  <c r="AB162" i="1" s="1"/>
  <c r="AD164" i="1"/>
  <c r="AA171" i="1"/>
  <c r="Z171" i="1"/>
  <c r="AD171" i="1" s="1"/>
  <c r="Z151" i="1"/>
  <c r="AD151" i="1" s="1"/>
  <c r="AA151" i="1"/>
  <c r="AA160" i="1"/>
  <c r="Y161" i="1" s="1"/>
  <c r="Z160" i="1"/>
  <c r="AD160" i="1" s="1"/>
  <c r="AA150" i="1"/>
  <c r="Z150" i="1"/>
  <c r="AD150" i="1" s="1"/>
  <c r="AD146" i="1"/>
  <c r="AA152" i="1"/>
  <c r="Z152" i="1"/>
  <c r="AD152" i="1" s="1"/>
  <c r="AA165" i="1"/>
  <c r="Z165" i="1"/>
  <c r="AD165" i="1" s="1"/>
  <c r="AA166" i="1"/>
  <c r="Z166" i="1"/>
  <c r="AD166" i="1" s="1"/>
  <c r="AO166" i="1" s="1"/>
  <c r="AA167" i="1"/>
  <c r="Z167" i="1"/>
  <c r="AD167" i="1" s="1"/>
  <c r="AA168" i="1"/>
  <c r="Z168" i="1"/>
  <c r="AD168" i="1" s="1"/>
  <c r="AC180" i="1" l="1"/>
  <c r="AB180" i="1" s="1"/>
  <c r="AC174" i="1"/>
  <c r="AA179" i="1"/>
  <c r="Y180" i="1" s="1"/>
  <c r="Z179" i="1"/>
  <c r="AD179" i="1" s="1"/>
  <c r="AC154" i="1"/>
  <c r="AB154" i="1" s="1"/>
  <c r="AA173" i="1"/>
  <c r="Y174" i="1" s="1"/>
  <c r="Z173" i="1"/>
  <c r="AD173" i="1" s="1"/>
  <c r="AB174" i="1"/>
  <c r="AC175" i="1"/>
  <c r="Z147" i="1"/>
  <c r="AD147" i="1" s="1"/>
  <c r="AO146" i="1" s="1"/>
  <c r="AC163" i="1"/>
  <c r="AB163" i="1" s="1"/>
  <c r="AA161" i="1"/>
  <c r="Z161" i="1"/>
  <c r="AD161" i="1" s="1"/>
  <c r="Y154" i="1"/>
  <c r="Y153" i="1"/>
  <c r="AA180" i="1" l="1"/>
  <c r="Y181" i="1" s="1"/>
  <c r="Z180" i="1"/>
  <c r="AD180" i="1" s="1"/>
  <c r="AC155" i="1"/>
  <c r="AB155" i="1" s="1"/>
  <c r="AA174" i="1"/>
  <c r="Y175" i="1" s="1"/>
  <c r="Z174" i="1"/>
  <c r="AD174" i="1" s="1"/>
  <c r="AB175" i="1"/>
  <c r="AC176" i="1"/>
  <c r="AB176" i="1" s="1"/>
  <c r="AC156" i="1"/>
  <c r="AB156" i="1" s="1"/>
  <c r="Z154" i="1"/>
  <c r="AD154" i="1" s="1"/>
  <c r="AA154" i="1"/>
  <c r="Y155" i="1" s="1"/>
  <c r="AA153" i="1"/>
  <c r="Z153" i="1"/>
  <c r="AD153" i="1" s="1"/>
  <c r="Y163" i="1"/>
  <c r="Y162" i="1"/>
  <c r="AC157" i="1" l="1"/>
  <c r="AB157" i="1" s="1"/>
  <c r="AA181" i="1"/>
  <c r="Z181" i="1"/>
  <c r="AD181" i="1" s="1"/>
  <c r="AO178" i="1" s="1"/>
  <c r="AC158" i="1"/>
  <c r="Z175" i="1"/>
  <c r="AD175" i="1" s="1"/>
  <c r="AA175" i="1"/>
  <c r="Y176" i="1" s="1"/>
  <c r="AA162" i="1"/>
  <c r="Z162" i="1"/>
  <c r="AD162" i="1" s="1"/>
  <c r="Z163" i="1"/>
  <c r="AD163" i="1" s="1"/>
  <c r="AO160" i="1" s="1"/>
  <c r="AA163" i="1"/>
  <c r="Z155" i="1"/>
  <c r="AD155" i="1" s="1"/>
  <c r="AA155" i="1"/>
  <c r="Y156" i="1" s="1"/>
  <c r="AB158" i="1" l="1"/>
  <c r="AC159" i="1"/>
  <c r="AB159" i="1" s="1"/>
  <c r="AA176" i="1"/>
  <c r="Z176" i="1"/>
  <c r="AD176" i="1" s="1"/>
  <c r="AO172" i="1" s="1"/>
  <c r="AA156" i="1"/>
  <c r="Z156" i="1"/>
  <c r="AD156" i="1" s="1"/>
  <c r="Y157" i="1" l="1"/>
  <c r="Z157" i="1" s="1"/>
  <c r="AD157" i="1" s="1"/>
  <c r="Y158" i="1"/>
  <c r="AA157" i="1" l="1"/>
  <c r="AA158" i="1"/>
  <c r="Y159" i="1" s="1"/>
  <c r="Z158" i="1"/>
  <c r="AD158" i="1" s="1"/>
  <c r="U145" i="1"/>
  <c r="R145" i="1"/>
  <c r="L145" i="1"/>
  <c r="U144" i="1"/>
  <c r="R144" i="1"/>
  <c r="L144" i="1"/>
  <c r="U143" i="1"/>
  <c r="R143" i="1"/>
  <c r="L143" i="1"/>
  <c r="U142" i="1"/>
  <c r="R142" i="1"/>
  <c r="L142" i="1"/>
  <c r="U141" i="1"/>
  <c r="R141" i="1"/>
  <c r="L141" i="1"/>
  <c r="U140" i="1"/>
  <c r="R140" i="1"/>
  <c r="L140" i="1"/>
  <c r="M140" i="1" s="1"/>
  <c r="I140" i="1"/>
  <c r="J140" i="1" s="1"/>
  <c r="AA159" i="1" l="1"/>
  <c r="Z159" i="1"/>
  <c r="AD159" i="1" s="1"/>
  <c r="AO152" i="1" s="1"/>
  <c r="AC145" i="1"/>
  <c r="AB145" i="1" s="1"/>
  <c r="Y144" i="1"/>
  <c r="AA144" i="1" s="1"/>
  <c r="AC144" i="1"/>
  <c r="AB144" i="1" s="1"/>
  <c r="O140" i="1"/>
  <c r="AN140" i="1" s="1"/>
  <c r="N140" i="1"/>
  <c r="AC140" i="1" s="1"/>
  <c r="Y145" i="1"/>
  <c r="Y140" i="1"/>
  <c r="Z144" i="1" l="1"/>
  <c r="AD144" i="1" s="1"/>
  <c r="AB140" i="1"/>
  <c r="AC141" i="1"/>
  <c r="AA140" i="1"/>
  <c r="Y141" i="1" s="1"/>
  <c r="Z140" i="1"/>
  <c r="AA145" i="1"/>
  <c r="Z145" i="1"/>
  <c r="AD145" i="1" s="1"/>
  <c r="AD140" i="1" l="1"/>
  <c r="AO140" i="1" s="1"/>
  <c r="AA141" i="1"/>
  <c r="Y142" i="1" s="1"/>
  <c r="Z141" i="1"/>
  <c r="AB141" i="1"/>
  <c r="AC142" i="1"/>
  <c r="AB142" i="1" l="1"/>
  <c r="AC143" i="1"/>
  <c r="AB143" i="1" s="1"/>
  <c r="AD141" i="1"/>
  <c r="Z142" i="1"/>
  <c r="AA142" i="1"/>
  <c r="Y143" i="1" s="1"/>
  <c r="AD142" i="1" l="1"/>
  <c r="Z143" i="1"/>
  <c r="AD143" i="1" s="1"/>
  <c r="AA143" i="1"/>
  <c r="U139" i="1" l="1"/>
  <c r="R139" i="1"/>
  <c r="L139" i="1"/>
  <c r="U138" i="1"/>
  <c r="R138" i="1"/>
  <c r="L138" i="1"/>
  <c r="U137" i="1"/>
  <c r="R137" i="1"/>
  <c r="L137" i="1"/>
  <c r="U136" i="1"/>
  <c r="R136" i="1"/>
  <c r="L136" i="1"/>
  <c r="U135" i="1"/>
  <c r="R135" i="1"/>
  <c r="L135" i="1"/>
  <c r="U134" i="1"/>
  <c r="R134" i="1"/>
  <c r="L134" i="1"/>
  <c r="M134" i="1" s="1"/>
  <c r="N134" i="1" s="1"/>
  <c r="AC134" i="1" s="1"/>
  <c r="I134" i="1"/>
  <c r="J134" i="1" s="1"/>
  <c r="U133" i="1"/>
  <c r="R133" i="1"/>
  <c r="L133" i="1"/>
  <c r="U132" i="1"/>
  <c r="R132" i="1"/>
  <c r="L132" i="1"/>
  <c r="U131" i="1"/>
  <c r="R131" i="1"/>
  <c r="L131" i="1"/>
  <c r="U130" i="1"/>
  <c r="L130" i="1"/>
  <c r="U129" i="1"/>
  <c r="R129" i="1"/>
  <c r="L129" i="1"/>
  <c r="U128" i="1"/>
  <c r="R128" i="1"/>
  <c r="L128" i="1"/>
  <c r="M128" i="1" s="1"/>
  <c r="N128" i="1" s="1"/>
  <c r="I128" i="1"/>
  <c r="J128" i="1" s="1"/>
  <c r="U127" i="1"/>
  <c r="R127" i="1"/>
  <c r="L127" i="1"/>
  <c r="U126" i="1"/>
  <c r="R126" i="1"/>
  <c r="L126" i="1"/>
  <c r="U125" i="1"/>
  <c r="R125" i="1"/>
  <c r="L125" i="1"/>
  <c r="U124" i="1"/>
  <c r="L124" i="1"/>
  <c r="U123" i="1"/>
  <c r="R123" i="1"/>
  <c r="L123" i="1"/>
  <c r="U122" i="1"/>
  <c r="R122" i="1"/>
  <c r="L122" i="1"/>
  <c r="M122" i="1" s="1"/>
  <c r="N122" i="1" s="1"/>
  <c r="I122" i="1"/>
  <c r="J122" i="1" s="1"/>
  <c r="AC132" i="1" l="1"/>
  <c r="AB132" i="1" s="1"/>
  <c r="Y137" i="1"/>
  <c r="AA137" i="1" s="1"/>
  <c r="Y138" i="1"/>
  <c r="Z138" i="1" s="1"/>
  <c r="Y139" i="1"/>
  <c r="AA139" i="1" s="1"/>
  <c r="AC126" i="1"/>
  <c r="AB126" i="1" s="1"/>
  <c r="AC133" i="1"/>
  <c r="AB133" i="1" s="1"/>
  <c r="AC127" i="1"/>
  <c r="AB127" i="1" s="1"/>
  <c r="AC139" i="1"/>
  <c r="AB139" i="1" s="1"/>
  <c r="Y134" i="1"/>
  <c r="Z134" i="1" s="1"/>
  <c r="O122" i="1"/>
  <c r="AN122" i="1" s="1"/>
  <c r="AC122" i="1"/>
  <c r="AB122" i="1" s="1"/>
  <c r="O134" i="1"/>
  <c r="AN134" i="1" s="1"/>
  <c r="AB134" i="1"/>
  <c r="AC135" i="1"/>
  <c r="AB135" i="1" s="1"/>
  <c r="O128" i="1"/>
  <c r="AN128" i="1" s="1"/>
  <c r="AC136" i="1"/>
  <c r="AB136" i="1" s="1"/>
  <c r="AC128" i="1"/>
  <c r="AC138" i="1"/>
  <c r="AB138" i="1" s="1"/>
  <c r="AC137" i="1"/>
  <c r="AB137" i="1" s="1"/>
  <c r="Y127" i="1"/>
  <c r="Y133" i="1"/>
  <c r="Y122" i="1"/>
  <c r="Y128" i="1"/>
  <c r="Y132" i="1"/>
  <c r="Y126" i="1"/>
  <c r="Z137" i="1" l="1"/>
  <c r="AD137" i="1" s="1"/>
  <c r="AA138" i="1"/>
  <c r="AA134" i="1"/>
  <c r="Y135" i="1" s="1"/>
  <c r="AA135" i="1" s="1"/>
  <c r="Y136" i="1" s="1"/>
  <c r="AC123" i="1"/>
  <c r="AB123" i="1" s="1"/>
  <c r="Z139" i="1"/>
  <c r="AD139" i="1" s="1"/>
  <c r="AD138" i="1"/>
  <c r="AC124" i="1"/>
  <c r="AB124" i="1" s="1"/>
  <c r="AD134" i="1"/>
  <c r="AA133" i="1"/>
  <c r="Z133" i="1"/>
  <c r="AD133" i="1" s="1"/>
  <c r="AA127" i="1"/>
  <c r="Z127" i="1"/>
  <c r="AD127" i="1" s="1"/>
  <c r="AC129" i="1"/>
  <c r="AB129" i="1" s="1"/>
  <c r="AB128" i="1"/>
  <c r="AA132" i="1"/>
  <c r="Z132" i="1"/>
  <c r="AD132" i="1" s="1"/>
  <c r="AC130" i="1"/>
  <c r="AA128" i="1"/>
  <c r="Y129" i="1" s="1"/>
  <c r="Z128" i="1"/>
  <c r="Z122" i="1"/>
  <c r="AD122" i="1" s="1"/>
  <c r="AA122" i="1"/>
  <c r="Y123" i="1" s="1"/>
  <c r="AA126" i="1"/>
  <c r="Z126" i="1"/>
  <c r="AD126" i="1" s="1"/>
  <c r="Z135" i="1" l="1"/>
  <c r="AD135" i="1" s="1"/>
  <c r="AC125" i="1"/>
  <c r="AB125" i="1" s="1"/>
  <c r="AD128" i="1"/>
  <c r="AC131" i="1"/>
  <c r="AB131" i="1" s="1"/>
  <c r="AB130" i="1"/>
  <c r="AA136" i="1"/>
  <c r="Z136" i="1"/>
  <c r="AD136" i="1" s="1"/>
  <c r="AO134" i="1" s="1"/>
  <c r="AA123" i="1"/>
  <c r="Z123" i="1"/>
  <c r="AD123" i="1" s="1"/>
  <c r="AA129" i="1"/>
  <c r="Z129" i="1"/>
  <c r="AD129" i="1" s="1"/>
  <c r="Y130" i="1" l="1"/>
  <c r="Y131" i="1"/>
  <c r="Y124" i="1"/>
  <c r="Y125" i="1"/>
  <c r="AA125" i="1" l="1"/>
  <c r="Z125" i="1"/>
  <c r="AD125" i="1" s="1"/>
  <c r="AA124" i="1"/>
  <c r="Z124" i="1"/>
  <c r="AD124" i="1" s="1"/>
  <c r="AO122" i="1" s="1"/>
  <c r="Z130" i="1"/>
  <c r="AD130" i="1" s="1"/>
  <c r="AO128" i="1" s="1"/>
  <c r="AA130" i="1"/>
  <c r="AA131" i="1"/>
  <c r="Z131" i="1"/>
  <c r="AD131" i="1" s="1"/>
  <c r="U121" i="1" l="1"/>
  <c r="R121" i="1"/>
  <c r="L121" i="1"/>
  <c r="U120" i="1"/>
  <c r="R120" i="1"/>
  <c r="L120" i="1"/>
  <c r="U119" i="1"/>
  <c r="R119" i="1"/>
  <c r="L119" i="1"/>
  <c r="U118" i="1"/>
  <c r="R118" i="1"/>
  <c r="L118" i="1"/>
  <c r="U117" i="1"/>
  <c r="R117" i="1"/>
  <c r="L117" i="1"/>
  <c r="U116" i="1"/>
  <c r="R116" i="1"/>
  <c r="L116" i="1"/>
  <c r="M116" i="1" s="1"/>
  <c r="N116" i="1" s="1"/>
  <c r="I116" i="1"/>
  <c r="U115" i="1"/>
  <c r="R115" i="1"/>
  <c r="L115" i="1"/>
  <c r="U114" i="1"/>
  <c r="R114" i="1"/>
  <c r="L114" i="1"/>
  <c r="U113" i="1"/>
  <c r="R113" i="1"/>
  <c r="L113" i="1"/>
  <c r="U112" i="1"/>
  <c r="R112" i="1"/>
  <c r="L112" i="1"/>
  <c r="U111" i="1"/>
  <c r="R111" i="1"/>
  <c r="L111" i="1"/>
  <c r="U110" i="1"/>
  <c r="R110" i="1"/>
  <c r="L110" i="1"/>
  <c r="M110" i="1" s="1"/>
  <c r="I110" i="1"/>
  <c r="J110" i="1" s="1"/>
  <c r="U109" i="1"/>
  <c r="R109" i="1"/>
  <c r="L109" i="1"/>
  <c r="U108" i="1"/>
  <c r="R108" i="1"/>
  <c r="L108" i="1"/>
  <c r="U107" i="1"/>
  <c r="R107" i="1"/>
  <c r="L107" i="1"/>
  <c r="U106" i="1"/>
  <c r="L106" i="1"/>
  <c r="U105" i="1"/>
  <c r="R105" i="1"/>
  <c r="L105" i="1"/>
  <c r="U104" i="1"/>
  <c r="R104" i="1"/>
  <c r="L104" i="1"/>
  <c r="M104" i="1" s="1"/>
  <c r="N104" i="1" s="1"/>
  <c r="I104" i="1"/>
  <c r="J104" i="1" s="1"/>
  <c r="L103" i="1"/>
  <c r="U102" i="1"/>
  <c r="L102" i="1"/>
  <c r="U101" i="1"/>
  <c r="R101" i="1"/>
  <c r="L101" i="1"/>
  <c r="U100" i="1"/>
  <c r="L100" i="1"/>
  <c r="U99" i="1"/>
  <c r="R99" i="1"/>
  <c r="L99" i="1"/>
  <c r="U98" i="1"/>
  <c r="R98" i="1"/>
  <c r="L98" i="1"/>
  <c r="M98" i="1" s="1"/>
  <c r="N98" i="1" s="1"/>
  <c r="I98" i="1"/>
  <c r="J98" i="1" s="1"/>
  <c r="U97" i="1"/>
  <c r="R97" i="1"/>
  <c r="L97" i="1"/>
  <c r="U96" i="1"/>
  <c r="R96" i="1"/>
  <c r="L96" i="1"/>
  <c r="U95" i="1"/>
  <c r="R95" i="1"/>
  <c r="L95" i="1"/>
  <c r="U94" i="1"/>
  <c r="R94" i="1"/>
  <c r="L94" i="1"/>
  <c r="U93" i="1"/>
  <c r="R93" i="1"/>
  <c r="L93" i="1"/>
  <c r="U92" i="1"/>
  <c r="R92" i="1"/>
  <c r="L92" i="1"/>
  <c r="M92" i="1" s="1"/>
  <c r="I92" i="1"/>
  <c r="J92" i="1" s="1"/>
  <c r="U91" i="1"/>
  <c r="R91" i="1"/>
  <c r="L91" i="1"/>
  <c r="U90" i="1"/>
  <c r="R90" i="1"/>
  <c r="L90" i="1"/>
  <c r="U89" i="1"/>
  <c r="R89" i="1"/>
  <c r="L89" i="1"/>
  <c r="U88" i="1"/>
  <c r="R88" i="1"/>
  <c r="L88" i="1"/>
  <c r="U87" i="1"/>
  <c r="R87" i="1"/>
  <c r="L87" i="1"/>
  <c r="U86" i="1"/>
  <c r="R86" i="1"/>
  <c r="L86" i="1"/>
  <c r="M86" i="1" s="1"/>
  <c r="N86" i="1" s="1"/>
  <c r="AC86" i="1" s="1"/>
  <c r="AB86" i="1" s="1"/>
  <c r="I86" i="1"/>
  <c r="J86" i="1" s="1"/>
  <c r="Y114" i="1" l="1"/>
  <c r="AC98" i="1"/>
  <c r="Y118" i="1"/>
  <c r="AA118" i="1" s="1"/>
  <c r="Y119" i="1"/>
  <c r="AA119" i="1" s="1"/>
  <c r="O110" i="1"/>
  <c r="AN110" i="1" s="1"/>
  <c r="AC115" i="1"/>
  <c r="AB115" i="1" s="1"/>
  <c r="AC102" i="1"/>
  <c r="AB102" i="1" s="1"/>
  <c r="AC95" i="1"/>
  <c r="AB95" i="1" s="1"/>
  <c r="AC97" i="1"/>
  <c r="AB97" i="1" s="1"/>
  <c r="AC121" i="1"/>
  <c r="AB121" i="1" s="1"/>
  <c r="O92" i="1"/>
  <c r="AN92" i="1" s="1"/>
  <c r="N92" i="1"/>
  <c r="AC92" i="1" s="1"/>
  <c r="AB92" i="1" s="1"/>
  <c r="AC104" i="1"/>
  <c r="AC106" i="1" s="1"/>
  <c r="Y115" i="1"/>
  <c r="AC118" i="1"/>
  <c r="AB118" i="1" s="1"/>
  <c r="Y92" i="1"/>
  <c r="Z92" i="1" s="1"/>
  <c r="Y120" i="1"/>
  <c r="Z120" i="1" s="1"/>
  <c r="AC119" i="1"/>
  <c r="AB119" i="1" s="1"/>
  <c r="Y95" i="1"/>
  <c r="AA95" i="1" s="1"/>
  <c r="AC91" i="1"/>
  <c r="AB91" i="1" s="1"/>
  <c r="O116" i="1"/>
  <c r="AN116" i="1" s="1"/>
  <c r="AC116" i="1"/>
  <c r="AB116" i="1" s="1"/>
  <c r="AC99" i="1"/>
  <c r="AB99" i="1" s="1"/>
  <c r="AA114" i="1"/>
  <c r="Z114" i="1"/>
  <c r="AB98" i="1"/>
  <c r="AC100" i="1"/>
  <c r="AB100" i="1" s="1"/>
  <c r="O98" i="1"/>
  <c r="AN98" i="1" s="1"/>
  <c r="AC114" i="1"/>
  <c r="AB114" i="1" s="1"/>
  <c r="J116" i="1"/>
  <c r="Y116" i="1" s="1"/>
  <c r="Y97" i="1"/>
  <c r="AC120" i="1"/>
  <c r="AB120" i="1" s="1"/>
  <c r="N110" i="1"/>
  <c r="AC110" i="1" s="1"/>
  <c r="Y98" i="1"/>
  <c r="Y102" i="1"/>
  <c r="O104" i="1"/>
  <c r="AN104" i="1" s="1"/>
  <c r="Y109" i="1"/>
  <c r="Y96" i="1"/>
  <c r="Y104" i="1"/>
  <c r="Y110" i="1"/>
  <c r="Y117" i="1"/>
  <c r="Y121" i="1"/>
  <c r="AC96" i="1"/>
  <c r="AB96" i="1" s="1"/>
  <c r="AC109" i="1"/>
  <c r="AB109" i="1" s="1"/>
  <c r="AC117" i="1"/>
  <c r="AB117" i="1" s="1"/>
  <c r="AC87" i="1"/>
  <c r="AB87" i="1" s="1"/>
  <c r="Y91" i="1"/>
  <c r="Y86" i="1"/>
  <c r="O86" i="1"/>
  <c r="AN86" i="1" s="1"/>
  <c r="AC101" i="1" l="1"/>
  <c r="AB101" i="1" s="1"/>
  <c r="AA120" i="1"/>
  <c r="Z119" i="1"/>
  <c r="AA92" i="1"/>
  <c r="Y93" i="1" s="1"/>
  <c r="Z93" i="1" s="1"/>
  <c r="Z118" i="1"/>
  <c r="AD118" i="1" s="1"/>
  <c r="Z95" i="1"/>
  <c r="AD95" i="1" s="1"/>
  <c r="AC105" i="1"/>
  <c r="AB105" i="1" s="1"/>
  <c r="AB104" i="1"/>
  <c r="AC93" i="1"/>
  <c r="AD92" i="1"/>
  <c r="AO92" i="1" s="1"/>
  <c r="AD119" i="1"/>
  <c r="Z115" i="1"/>
  <c r="AD115" i="1" s="1"/>
  <c r="AA115" i="1"/>
  <c r="AB110" i="1"/>
  <c r="AC111" i="1"/>
  <c r="AD114" i="1"/>
  <c r="AA96" i="1"/>
  <c r="Z96" i="1"/>
  <c r="AD96" i="1" s="1"/>
  <c r="AA102" i="1"/>
  <c r="Z102" i="1"/>
  <c r="AD102" i="1" s="1"/>
  <c r="AA104" i="1"/>
  <c r="Y105" i="1" s="1"/>
  <c r="Z104" i="1"/>
  <c r="AD104" i="1" s="1"/>
  <c r="AA98" i="1"/>
  <c r="Y99" i="1" s="1"/>
  <c r="Z98" i="1"/>
  <c r="AD98" i="1" s="1"/>
  <c r="AA110" i="1"/>
  <c r="Y111" i="1" s="1"/>
  <c r="Z110" i="1"/>
  <c r="AA121" i="1"/>
  <c r="Z121" i="1"/>
  <c r="AD121" i="1" s="1"/>
  <c r="AD120" i="1"/>
  <c r="AA117" i="1"/>
  <c r="Z117" i="1"/>
  <c r="AD117" i="1" s="1"/>
  <c r="AA116" i="1"/>
  <c r="Z116" i="1"/>
  <c r="AD116" i="1" s="1"/>
  <c r="AO116" i="1" s="1"/>
  <c r="AA97" i="1"/>
  <c r="Z97" i="1"/>
  <c r="AD97" i="1" s="1"/>
  <c r="AB106" i="1"/>
  <c r="AC107" i="1"/>
  <c r="AA109" i="1"/>
  <c r="Z109" i="1"/>
  <c r="AD109" i="1" s="1"/>
  <c r="AC88" i="1"/>
  <c r="AC89" i="1" s="1"/>
  <c r="AB89" i="1" s="1"/>
  <c r="Z86" i="1"/>
  <c r="AD86" i="1" s="1"/>
  <c r="AA86" i="1"/>
  <c r="Y87" i="1" s="1"/>
  <c r="AA91" i="1"/>
  <c r="Z91" i="1"/>
  <c r="AD91" i="1" s="1"/>
  <c r="AB93" i="1" l="1"/>
  <c r="AD93" i="1" s="1"/>
  <c r="AC94" i="1"/>
  <c r="AB94" i="1" s="1"/>
  <c r="AA93" i="1"/>
  <c r="Y94" i="1" s="1"/>
  <c r="AD110" i="1"/>
  <c r="AA111" i="1"/>
  <c r="Y112" i="1" s="1"/>
  <c r="Z111" i="1"/>
  <c r="AA99" i="1"/>
  <c r="Z99" i="1"/>
  <c r="AD99" i="1" s="1"/>
  <c r="AA105" i="1"/>
  <c r="Z105" i="1"/>
  <c r="AD105" i="1" s="1"/>
  <c r="AB107" i="1"/>
  <c r="AC108" i="1"/>
  <c r="AB108" i="1" s="1"/>
  <c r="AB111" i="1"/>
  <c r="AC113" i="1"/>
  <c r="AB113" i="1" s="1"/>
  <c r="AC112" i="1"/>
  <c r="AB112" i="1" s="1"/>
  <c r="AC90" i="1"/>
  <c r="AB90" i="1" s="1"/>
  <c r="AB88" i="1"/>
  <c r="AA87" i="1"/>
  <c r="Y88" i="1" s="1"/>
  <c r="Z87" i="1"/>
  <c r="AD87" i="1" s="1"/>
  <c r="Y100" i="1" l="1"/>
  <c r="Z100" i="1" s="1"/>
  <c r="AD100" i="1" s="1"/>
  <c r="AO98" i="1" s="1"/>
  <c r="Y101" i="1"/>
  <c r="Z94" i="1"/>
  <c r="AD94" i="1" s="1"/>
  <c r="AA94" i="1"/>
  <c r="Y107" i="1"/>
  <c r="Y106" i="1"/>
  <c r="AA100" i="1"/>
  <c r="AD111" i="1"/>
  <c r="AA112" i="1"/>
  <c r="Y113" i="1" s="1"/>
  <c r="Z112" i="1"/>
  <c r="AD112" i="1" s="1"/>
  <c r="AA88" i="1"/>
  <c r="Y89" i="1" s="1"/>
  <c r="Z88" i="1"/>
  <c r="AD88" i="1" s="1"/>
  <c r="AA101" i="1" l="1"/>
  <c r="Z101" i="1"/>
  <c r="AD101" i="1" s="1"/>
  <c r="AA106" i="1"/>
  <c r="Z106" i="1"/>
  <c r="AD106" i="1" s="1"/>
  <c r="AA113" i="1"/>
  <c r="Z113" i="1"/>
  <c r="AD113" i="1" s="1"/>
  <c r="AO110" i="1" s="1"/>
  <c r="Z107" i="1"/>
  <c r="AD107" i="1" s="1"/>
  <c r="AA107" i="1"/>
  <c r="Y108" i="1" s="1"/>
  <c r="Z89" i="1"/>
  <c r="AD89" i="1" s="1"/>
  <c r="AA89" i="1"/>
  <c r="Y90" i="1" s="1"/>
  <c r="AA108" i="1" l="1"/>
  <c r="Z108" i="1"/>
  <c r="AD108" i="1" s="1"/>
  <c r="AO104" i="1" s="1"/>
  <c r="AA90" i="1"/>
  <c r="Z90" i="1"/>
  <c r="AD90" i="1" s="1"/>
  <c r="AO86" i="1" s="1"/>
  <c r="U85" i="1" l="1"/>
  <c r="R85" i="1"/>
  <c r="L85" i="1"/>
  <c r="U84" i="1"/>
  <c r="R84" i="1"/>
  <c r="L84" i="1"/>
  <c r="U83" i="1"/>
  <c r="R83" i="1"/>
  <c r="L83" i="1"/>
  <c r="U82" i="1"/>
  <c r="R82" i="1"/>
  <c r="L82" i="1"/>
  <c r="U81" i="1"/>
  <c r="R81" i="1"/>
  <c r="L81" i="1"/>
  <c r="U80" i="1"/>
  <c r="R80" i="1"/>
  <c r="L80" i="1"/>
  <c r="M80" i="1" s="1"/>
  <c r="N80" i="1" s="1"/>
  <c r="I80" i="1"/>
  <c r="J80" i="1" s="1"/>
  <c r="AC85" i="1" l="1"/>
  <c r="AB85" i="1" s="1"/>
  <c r="O80" i="1"/>
  <c r="AN80" i="1" s="1"/>
  <c r="AC80" i="1"/>
  <c r="AB80" i="1" s="1"/>
  <c r="Y85" i="1"/>
  <c r="Y80" i="1"/>
  <c r="AC81" i="1" l="1"/>
  <c r="AB81" i="1" s="1"/>
  <c r="Z80" i="1"/>
  <c r="AD80" i="1" s="1"/>
  <c r="AA80" i="1"/>
  <c r="Y81" i="1" s="1"/>
  <c r="AA85" i="1"/>
  <c r="Z85" i="1"/>
  <c r="AD85" i="1" s="1"/>
  <c r="AC82" i="1" l="1"/>
  <c r="AC84" i="1" s="1"/>
  <c r="AB84" i="1" s="1"/>
  <c r="AA81" i="1"/>
  <c r="Y82" i="1" s="1"/>
  <c r="Z81" i="1"/>
  <c r="AD81" i="1" s="1"/>
  <c r="AC83" i="1" l="1"/>
  <c r="AB83" i="1" s="1"/>
  <c r="AB82" i="1"/>
  <c r="AA82" i="1"/>
  <c r="Y83" i="1" s="1"/>
  <c r="Z82" i="1"/>
  <c r="AD82" i="1" l="1"/>
  <c r="AA83" i="1"/>
  <c r="Y84" i="1" s="1"/>
  <c r="Z83" i="1"/>
  <c r="AD83" i="1" s="1"/>
  <c r="AA84" i="1" l="1"/>
  <c r="Z84" i="1"/>
  <c r="AD84" i="1" s="1"/>
  <c r="AO80" i="1" s="1"/>
  <c r="U79" i="1" l="1"/>
  <c r="R79" i="1"/>
  <c r="L79" i="1"/>
  <c r="U78" i="1"/>
  <c r="R78" i="1"/>
  <c r="L78" i="1"/>
  <c r="U77" i="1"/>
  <c r="R77" i="1"/>
  <c r="L77" i="1"/>
  <c r="U76" i="1"/>
  <c r="R76" i="1"/>
  <c r="L76" i="1"/>
  <c r="U75" i="1"/>
  <c r="R75" i="1"/>
  <c r="L75" i="1"/>
  <c r="U74" i="1"/>
  <c r="R74" i="1"/>
  <c r="L74" i="1"/>
  <c r="M74" i="1" s="1"/>
  <c r="N74" i="1" s="1"/>
  <c r="I74" i="1"/>
  <c r="J74" i="1" s="1"/>
  <c r="U73" i="1"/>
  <c r="R73" i="1"/>
  <c r="L73" i="1"/>
  <c r="U72" i="1"/>
  <c r="R72" i="1"/>
  <c r="L72" i="1"/>
  <c r="U71" i="1"/>
  <c r="R71" i="1"/>
  <c r="L71" i="1"/>
  <c r="U70" i="1"/>
  <c r="R70" i="1"/>
  <c r="L70" i="1"/>
  <c r="U69" i="1"/>
  <c r="R69" i="1"/>
  <c r="L69" i="1"/>
  <c r="U68" i="1"/>
  <c r="R68" i="1"/>
  <c r="L68" i="1"/>
  <c r="M68" i="1" s="1"/>
  <c r="N68" i="1" s="1"/>
  <c r="I68" i="1"/>
  <c r="J68" i="1" s="1"/>
  <c r="U67" i="1"/>
  <c r="R67" i="1"/>
  <c r="L67" i="1"/>
  <c r="U66" i="1"/>
  <c r="R66" i="1"/>
  <c r="L66" i="1"/>
  <c r="U65" i="1"/>
  <c r="R65" i="1"/>
  <c r="Y65" i="1" s="1"/>
  <c r="AA65" i="1" s="1"/>
  <c r="L65" i="1"/>
  <c r="U64" i="1"/>
  <c r="R64" i="1"/>
  <c r="L64" i="1"/>
  <c r="U63" i="1"/>
  <c r="R63" i="1"/>
  <c r="L63" i="1"/>
  <c r="U62" i="1"/>
  <c r="R62" i="1"/>
  <c r="L62" i="1"/>
  <c r="M62" i="1" s="1"/>
  <c r="I62" i="1"/>
  <c r="J62" i="1" s="1"/>
  <c r="O62" i="1" l="1"/>
  <c r="AN62" i="1" s="1"/>
  <c r="Y64" i="1"/>
  <c r="AA64" i="1" s="1"/>
  <c r="AC73" i="1"/>
  <c r="AB73" i="1" s="1"/>
  <c r="AC77" i="1"/>
  <c r="AB77" i="1" s="1"/>
  <c r="AC66" i="1"/>
  <c r="AB66" i="1" s="1"/>
  <c r="Y78" i="1"/>
  <c r="Z78" i="1" s="1"/>
  <c r="Y72" i="1"/>
  <c r="Z72" i="1" s="1"/>
  <c r="Y68" i="1"/>
  <c r="AA68" i="1" s="1"/>
  <c r="Y69" i="1" s="1"/>
  <c r="Y62" i="1"/>
  <c r="AA62" i="1" s="1"/>
  <c r="Y73" i="1"/>
  <c r="AA73" i="1" s="1"/>
  <c r="O74" i="1"/>
  <c r="AN74" i="1" s="1"/>
  <c r="Y77" i="1"/>
  <c r="AA77" i="1" s="1"/>
  <c r="AC79" i="1"/>
  <c r="AB79" i="1" s="1"/>
  <c r="Z65" i="1"/>
  <c r="AC72" i="1"/>
  <c r="AB72" i="1" s="1"/>
  <c r="O68" i="1"/>
  <c r="AN68" i="1" s="1"/>
  <c r="AC74" i="1"/>
  <c r="AB74" i="1" s="1"/>
  <c r="AC68" i="1"/>
  <c r="AB68" i="1" s="1"/>
  <c r="N62" i="1"/>
  <c r="AC62" i="1" s="1"/>
  <c r="AC78" i="1"/>
  <c r="AB78" i="1" s="1"/>
  <c r="Y63" i="1"/>
  <c r="Y67" i="1"/>
  <c r="Y79" i="1"/>
  <c r="Y66" i="1"/>
  <c r="Y74" i="1"/>
  <c r="AC67" i="1"/>
  <c r="AB67" i="1" s="1"/>
  <c r="AA72" i="1" l="1"/>
  <c r="Z64" i="1"/>
  <c r="AC75" i="1"/>
  <c r="AB75" i="1" s="1"/>
  <c r="AA78" i="1"/>
  <c r="Z77" i="1"/>
  <c r="AD77" i="1" s="1"/>
  <c r="AC69" i="1"/>
  <c r="AB69" i="1" s="1"/>
  <c r="Z73" i="1"/>
  <c r="AD73" i="1" s="1"/>
  <c r="Z62" i="1"/>
  <c r="Z68" i="1"/>
  <c r="AD68" i="1" s="1"/>
  <c r="AD72" i="1"/>
  <c r="AB62" i="1"/>
  <c r="AC63" i="1"/>
  <c r="AA69" i="1"/>
  <c r="Y70" i="1" s="1"/>
  <c r="Z69" i="1"/>
  <c r="Z67" i="1"/>
  <c r="AD67" i="1" s="1"/>
  <c r="AA67" i="1"/>
  <c r="AD78" i="1"/>
  <c r="Z63" i="1"/>
  <c r="AA63" i="1"/>
  <c r="AC76" i="1"/>
  <c r="AB76" i="1" s="1"/>
  <c r="AA74" i="1"/>
  <c r="Y75" i="1" s="1"/>
  <c r="Z74" i="1"/>
  <c r="AD74" i="1" s="1"/>
  <c r="AA66" i="1"/>
  <c r="Z66" i="1"/>
  <c r="AD66" i="1" s="1"/>
  <c r="AA79" i="1"/>
  <c r="Z79" i="1"/>
  <c r="AD79" i="1" s="1"/>
  <c r="AC70" i="1" l="1"/>
  <c r="AB70" i="1" s="1"/>
  <c r="AD62" i="1"/>
  <c r="AD69" i="1"/>
  <c r="AC71" i="1"/>
  <c r="AB71" i="1" s="1"/>
  <c r="AA75" i="1"/>
  <c r="Y76" i="1" s="1"/>
  <c r="Z75" i="1"/>
  <c r="AD75" i="1" s="1"/>
  <c r="AA70" i="1"/>
  <c r="Y71" i="1" s="1"/>
  <c r="Z70" i="1"/>
  <c r="AB63" i="1"/>
  <c r="AD63" i="1" s="1"/>
  <c r="AC65" i="1"/>
  <c r="AB65" i="1" s="1"/>
  <c r="AD65" i="1" s="1"/>
  <c r="AO62" i="1" s="1"/>
  <c r="AC64" i="1"/>
  <c r="AB64" i="1" s="1"/>
  <c r="AD64" i="1" s="1"/>
  <c r="AD70" i="1" l="1"/>
  <c r="AA76" i="1"/>
  <c r="Z76" i="1"/>
  <c r="AD76" i="1" s="1"/>
  <c r="AO74" i="1" s="1"/>
  <c r="Z71" i="1"/>
  <c r="AD71" i="1" s="1"/>
  <c r="AO68" i="1" s="1"/>
  <c r="AA71" i="1"/>
  <c r="U61" i="1" l="1"/>
  <c r="R61" i="1"/>
  <c r="L61" i="1"/>
  <c r="U60" i="1"/>
  <c r="R60" i="1"/>
  <c r="L60" i="1"/>
  <c r="U59" i="1"/>
  <c r="R59" i="1"/>
  <c r="L59" i="1"/>
  <c r="U58" i="1"/>
  <c r="R58" i="1"/>
  <c r="L58" i="1"/>
  <c r="U57" i="1"/>
  <c r="R57" i="1"/>
  <c r="L57" i="1"/>
  <c r="U56" i="1"/>
  <c r="R56" i="1"/>
  <c r="L56" i="1"/>
  <c r="M56" i="1" s="1"/>
  <c r="I56" i="1"/>
  <c r="J56" i="1" s="1"/>
  <c r="AC61" i="1" l="1"/>
  <c r="AB61" i="1" s="1"/>
  <c r="AC59" i="1"/>
  <c r="AB59" i="1" s="1"/>
  <c r="AC60" i="1"/>
  <c r="AB60" i="1" s="1"/>
  <c r="Y60" i="1"/>
  <c r="AA60" i="1" s="1"/>
  <c r="O56" i="1"/>
  <c r="AN56" i="1" s="1"/>
  <c r="N56" i="1"/>
  <c r="AC56" i="1" s="1"/>
  <c r="Y59" i="1"/>
  <c r="Y61" i="1"/>
  <c r="Y56" i="1"/>
  <c r="Z60" i="1" l="1"/>
  <c r="AD60" i="1" s="1"/>
  <c r="AB56" i="1"/>
  <c r="AC57" i="1"/>
  <c r="AB57" i="1" s="1"/>
  <c r="AA56" i="1"/>
  <c r="Y57" i="1" s="1"/>
  <c r="Z56" i="1"/>
  <c r="AA61" i="1"/>
  <c r="Z61" i="1"/>
  <c r="AD61" i="1" s="1"/>
  <c r="AC58" i="1"/>
  <c r="AB58" i="1" s="1"/>
  <c r="Z59" i="1"/>
  <c r="AD59" i="1" s="1"/>
  <c r="AA59" i="1"/>
  <c r="AD56" i="1" l="1"/>
  <c r="AA57" i="1"/>
  <c r="Y58" i="1" s="1"/>
  <c r="Z57" i="1"/>
  <c r="AD57" i="1" s="1"/>
  <c r="Z58" i="1" l="1"/>
  <c r="AD58" i="1" s="1"/>
  <c r="AO56" i="1" s="1"/>
  <c r="AA58" i="1"/>
  <c r="U55" i="1" l="1"/>
  <c r="R55" i="1"/>
  <c r="L55" i="1"/>
  <c r="U54" i="1"/>
  <c r="R54" i="1"/>
  <c r="L54" i="1"/>
  <c r="U53" i="1"/>
  <c r="R53" i="1"/>
  <c r="L53" i="1"/>
  <c r="U52" i="1"/>
  <c r="R52" i="1"/>
  <c r="L52" i="1"/>
  <c r="U51" i="1"/>
  <c r="R51" i="1"/>
  <c r="L51" i="1"/>
  <c r="U50" i="1"/>
  <c r="R50" i="1"/>
  <c r="L50" i="1"/>
  <c r="M50" i="1" s="1"/>
  <c r="N50" i="1" s="1"/>
  <c r="I50" i="1"/>
  <c r="J50" i="1" s="1"/>
  <c r="U49" i="1"/>
  <c r="R49" i="1"/>
  <c r="L49" i="1"/>
  <c r="U48" i="1"/>
  <c r="R48" i="1"/>
  <c r="L48" i="1"/>
  <c r="U47" i="1"/>
  <c r="R47" i="1"/>
  <c r="L47" i="1"/>
  <c r="U46" i="1"/>
  <c r="R46" i="1"/>
  <c r="L46" i="1"/>
  <c r="U45" i="1"/>
  <c r="R45" i="1"/>
  <c r="L45" i="1"/>
  <c r="U44" i="1"/>
  <c r="R44" i="1"/>
  <c r="L44" i="1"/>
  <c r="M44" i="1" s="1"/>
  <c r="I44" i="1"/>
  <c r="J44" i="1" s="1"/>
  <c r="AC55" i="1" l="1"/>
  <c r="AB55" i="1" s="1"/>
  <c r="Y49" i="1"/>
  <c r="AA49" i="1" s="1"/>
  <c r="Y54" i="1"/>
  <c r="AA54" i="1" s="1"/>
  <c r="Y48" i="1"/>
  <c r="AA48" i="1" s="1"/>
  <c r="AC49" i="1"/>
  <c r="AB49" i="1" s="1"/>
  <c r="AC48" i="1"/>
  <c r="AB48" i="1" s="1"/>
  <c r="O50" i="1"/>
  <c r="AN50" i="1" s="1"/>
  <c r="O44" i="1"/>
  <c r="AN44" i="1" s="1"/>
  <c r="N44" i="1"/>
  <c r="AC44" i="1" s="1"/>
  <c r="AB44" i="1" s="1"/>
  <c r="AC50" i="1"/>
  <c r="AB50" i="1" s="1"/>
  <c r="AC54" i="1"/>
  <c r="AB54" i="1" s="1"/>
  <c r="Y44" i="1"/>
  <c r="Y55" i="1"/>
  <c r="Y50" i="1"/>
  <c r="Z49" i="1" l="1"/>
  <c r="AD49" i="1" s="1"/>
  <c r="Z48" i="1"/>
  <c r="AD48" i="1" s="1"/>
  <c r="Z54" i="1"/>
  <c r="AD54" i="1" s="1"/>
  <c r="AC51" i="1"/>
  <c r="AB51" i="1" s="1"/>
  <c r="AC45" i="1"/>
  <c r="AB45" i="1" s="1"/>
  <c r="AA55" i="1"/>
  <c r="Z55" i="1"/>
  <c r="AD55" i="1" s="1"/>
  <c r="AA44" i="1"/>
  <c r="Y45" i="1" s="1"/>
  <c r="Z44" i="1"/>
  <c r="AD44" i="1" s="1"/>
  <c r="AO44" i="1" s="1"/>
  <c r="AA50" i="1"/>
  <c r="Y51" i="1" s="1"/>
  <c r="Z50" i="1"/>
  <c r="AD50" i="1" s="1"/>
  <c r="AC46" i="1" l="1"/>
  <c r="AC47" i="1" s="1"/>
  <c r="AB47" i="1" s="1"/>
  <c r="AC52" i="1"/>
  <c r="AB52" i="1" s="1"/>
  <c r="AA45" i="1"/>
  <c r="Y46" i="1" s="1"/>
  <c r="Z45" i="1"/>
  <c r="AD45" i="1" s="1"/>
  <c r="AA51" i="1"/>
  <c r="Y52" i="1" s="1"/>
  <c r="Z51" i="1"/>
  <c r="AD51" i="1" s="1"/>
  <c r="AC53" i="1" l="1"/>
  <c r="AB53" i="1" s="1"/>
  <c r="AB46" i="1"/>
  <c r="AA52" i="1"/>
  <c r="Y53" i="1" s="1"/>
  <c r="Z52" i="1"/>
  <c r="AD52" i="1" s="1"/>
  <c r="AA46" i="1"/>
  <c r="Y47" i="1" s="1"/>
  <c r="Z46" i="1"/>
  <c r="AD46" i="1" l="1"/>
  <c r="Z47" i="1"/>
  <c r="AD47" i="1" s="1"/>
  <c r="AA47" i="1"/>
  <c r="AA53" i="1"/>
  <c r="Z53" i="1"/>
  <c r="AD53" i="1" s="1"/>
  <c r="AO50" i="1" s="1"/>
  <c r="U43" i="1" l="1"/>
  <c r="R43" i="1"/>
  <c r="L43" i="1"/>
  <c r="U42" i="1"/>
  <c r="R42" i="1"/>
  <c r="L42" i="1"/>
  <c r="U41" i="1"/>
  <c r="R41" i="1"/>
  <c r="L41" i="1"/>
  <c r="U40" i="1"/>
  <c r="R40" i="1"/>
  <c r="L40" i="1"/>
  <c r="U39" i="1"/>
  <c r="R39" i="1"/>
  <c r="L39" i="1"/>
  <c r="U38" i="1"/>
  <c r="R38" i="1"/>
  <c r="L38" i="1"/>
  <c r="M38" i="1" s="1"/>
  <c r="I38" i="1"/>
  <c r="J38" i="1" s="1"/>
  <c r="U37" i="1"/>
  <c r="R37" i="1"/>
  <c r="L37" i="1"/>
  <c r="U36" i="1"/>
  <c r="R36" i="1"/>
  <c r="L36" i="1"/>
  <c r="U35" i="1"/>
  <c r="R35" i="1"/>
  <c r="L35" i="1"/>
  <c r="U34" i="1"/>
  <c r="R34" i="1"/>
  <c r="L34" i="1"/>
  <c r="U33" i="1"/>
  <c r="R33" i="1"/>
  <c r="L33" i="1"/>
  <c r="U32" i="1"/>
  <c r="R32" i="1"/>
  <c r="L32" i="1"/>
  <c r="M32" i="1" s="1"/>
  <c r="N32" i="1" s="1"/>
  <c r="I32" i="1"/>
  <c r="J32" i="1" s="1"/>
  <c r="Y35" i="1" l="1"/>
  <c r="AC43" i="1"/>
  <c r="AB43" i="1" s="1"/>
  <c r="Y42" i="1"/>
  <c r="AA42" i="1" s="1"/>
  <c r="Y36" i="1"/>
  <c r="Z36" i="1" s="1"/>
  <c r="AC42" i="1"/>
  <c r="AB42" i="1" s="1"/>
  <c r="AC37" i="1"/>
  <c r="AB37" i="1" s="1"/>
  <c r="AC36" i="1"/>
  <c r="AB36" i="1" s="1"/>
  <c r="O38" i="1"/>
  <c r="AN38" i="1" s="1"/>
  <c r="N38" i="1"/>
  <c r="AC38" i="1" s="1"/>
  <c r="AA35" i="1"/>
  <c r="Z35" i="1"/>
  <c r="O32" i="1"/>
  <c r="AN32" i="1" s="1"/>
  <c r="AC32" i="1"/>
  <c r="AB32" i="1" s="1"/>
  <c r="AC35" i="1"/>
  <c r="AB35" i="1" s="1"/>
  <c r="Y43" i="1"/>
  <c r="Y32" i="1"/>
  <c r="Y38" i="1"/>
  <c r="Y37" i="1"/>
  <c r="AA36" i="1" l="1"/>
  <c r="Z42" i="1"/>
  <c r="AD42" i="1" s="1"/>
  <c r="AD36" i="1"/>
  <c r="AC34" i="1"/>
  <c r="AB34" i="1" s="1"/>
  <c r="AD35" i="1"/>
  <c r="AC33" i="1"/>
  <c r="AB33" i="1" s="1"/>
  <c r="AB38" i="1"/>
  <c r="AC39" i="1"/>
  <c r="AA43" i="1"/>
  <c r="Z43" i="1"/>
  <c r="AD43" i="1" s="1"/>
  <c r="AA37" i="1"/>
  <c r="Z37" i="1"/>
  <c r="AD37" i="1" s="1"/>
  <c r="AA32" i="1"/>
  <c r="Y33" i="1" s="1"/>
  <c r="Z32" i="1"/>
  <c r="AD32" i="1" s="1"/>
  <c r="AA38" i="1"/>
  <c r="Y39" i="1" s="1"/>
  <c r="Z38" i="1"/>
  <c r="AD38" i="1" l="1"/>
  <c r="AO38" i="1" s="1"/>
  <c r="AA33" i="1"/>
  <c r="Y34" i="1" s="1"/>
  <c r="Z33" i="1"/>
  <c r="AD33" i="1" s="1"/>
  <c r="AA39" i="1"/>
  <c r="Y40" i="1" s="1"/>
  <c r="Z39" i="1"/>
  <c r="AB39" i="1"/>
  <c r="AC40" i="1"/>
  <c r="AB40" i="1" l="1"/>
  <c r="AC41" i="1"/>
  <c r="AB41" i="1" s="1"/>
  <c r="AD39" i="1"/>
  <c r="Z40" i="1"/>
  <c r="AA40" i="1"/>
  <c r="Y41" i="1" s="1"/>
  <c r="AA34" i="1"/>
  <c r="Z34" i="1"/>
  <c r="AD34" i="1" s="1"/>
  <c r="AO32" i="1" s="1"/>
  <c r="AD40" i="1" l="1"/>
  <c r="Z41" i="1"/>
  <c r="AD41" i="1" s="1"/>
  <c r="AA41" i="1"/>
  <c r="U31" i="1" l="1"/>
  <c r="R31" i="1"/>
  <c r="L31" i="1"/>
  <c r="U30" i="1"/>
  <c r="R30" i="1"/>
  <c r="L30" i="1"/>
  <c r="U29" i="1"/>
  <c r="R29" i="1"/>
  <c r="L29" i="1"/>
  <c r="U28" i="1"/>
  <c r="R28" i="1"/>
  <c r="L28" i="1"/>
  <c r="U27" i="1"/>
  <c r="R27" i="1"/>
  <c r="L27" i="1"/>
  <c r="U26" i="1"/>
  <c r="R26" i="1"/>
  <c r="L26" i="1"/>
  <c r="M26" i="1" s="1"/>
  <c r="N26" i="1" s="1"/>
  <c r="I26" i="1"/>
  <c r="AC31" i="1" l="1"/>
  <c r="AB31" i="1" s="1"/>
  <c r="Y30" i="1"/>
  <c r="AA30" i="1" s="1"/>
  <c r="AC30" i="1"/>
  <c r="AB30" i="1" s="1"/>
  <c r="O26" i="1"/>
  <c r="AN26" i="1" s="1"/>
  <c r="AC26" i="1"/>
  <c r="AB26" i="1" s="1"/>
  <c r="J26" i="1"/>
  <c r="Y26" i="1" s="1"/>
  <c r="Y31" i="1"/>
  <c r="Z30" i="1" l="1"/>
  <c r="AD30" i="1" s="1"/>
  <c r="AA26" i="1"/>
  <c r="Y27" i="1" s="1"/>
  <c r="Z26" i="1"/>
  <c r="AD26" i="1" s="1"/>
  <c r="AC27" i="1"/>
  <c r="AA31" i="1"/>
  <c r="Z31" i="1"/>
  <c r="AD31" i="1" s="1"/>
  <c r="AB27" i="1" l="1"/>
  <c r="AC29" i="1"/>
  <c r="AB29" i="1" s="1"/>
  <c r="AC28" i="1"/>
  <c r="AB28" i="1" s="1"/>
  <c r="AA27" i="1"/>
  <c r="Y28" i="1" s="1"/>
  <c r="Z27" i="1"/>
  <c r="AD27" i="1" l="1"/>
  <c r="AA28" i="1"/>
  <c r="Y29" i="1" s="1"/>
  <c r="Z28" i="1"/>
  <c r="AD28" i="1" s="1"/>
  <c r="Z29" i="1" l="1"/>
  <c r="AD29" i="1" s="1"/>
  <c r="AO26" i="1" s="1"/>
  <c r="AA29" i="1"/>
  <c r="U25" i="1" l="1"/>
  <c r="R25" i="1"/>
  <c r="L25" i="1"/>
  <c r="U24" i="1"/>
  <c r="R24" i="1"/>
  <c r="L24" i="1"/>
  <c r="U23" i="1"/>
  <c r="R23" i="1"/>
  <c r="L23" i="1"/>
  <c r="U22" i="1"/>
  <c r="R22" i="1"/>
  <c r="L22" i="1"/>
  <c r="U21" i="1"/>
  <c r="R21" i="1"/>
  <c r="L21" i="1"/>
  <c r="U20" i="1"/>
  <c r="R20" i="1"/>
  <c r="L20" i="1"/>
  <c r="M20" i="1" s="1"/>
  <c r="I20" i="1"/>
  <c r="J20" i="1" s="1"/>
  <c r="Y24" i="1" l="1"/>
  <c r="AA24" i="1" s="1"/>
  <c r="AC25" i="1"/>
  <c r="AB25" i="1" s="1"/>
  <c r="N20" i="1"/>
  <c r="AC20" i="1" s="1"/>
  <c r="O20" i="1"/>
  <c r="AN20" i="1" s="1"/>
  <c r="AC24" i="1"/>
  <c r="AB24" i="1" s="1"/>
  <c r="Y25" i="1"/>
  <c r="Y20" i="1"/>
  <c r="Z24" i="1" l="1"/>
  <c r="AD24" i="1" s="1"/>
  <c r="AB20" i="1"/>
  <c r="AC21" i="1"/>
  <c r="AA25" i="1"/>
  <c r="Z25" i="1"/>
  <c r="AD25" i="1" s="1"/>
  <c r="AA20" i="1"/>
  <c r="Y21" i="1" s="1"/>
  <c r="Z20" i="1"/>
  <c r="AD20" i="1" l="1"/>
  <c r="AA21" i="1"/>
  <c r="Y22" i="1" s="1"/>
  <c r="Z21" i="1"/>
  <c r="AB21" i="1"/>
  <c r="AC23" i="1"/>
  <c r="AB23" i="1" s="1"/>
  <c r="AC22" i="1"/>
  <c r="AB22" i="1" s="1"/>
  <c r="Z22" i="1" l="1"/>
  <c r="AD22" i="1" s="1"/>
  <c r="AA22" i="1"/>
  <c r="Y23" i="1" s="1"/>
  <c r="AD21" i="1"/>
  <c r="AA23" i="1" l="1"/>
  <c r="Z23" i="1"/>
  <c r="AD23" i="1" s="1"/>
  <c r="AO20" i="1" s="1"/>
  <c r="U13" i="1" l="1"/>
  <c r="R13" i="1"/>
  <c r="L13" i="1"/>
  <c r="U12" i="1"/>
  <c r="R12" i="1"/>
  <c r="L12" i="1"/>
  <c r="U11" i="1"/>
  <c r="R11" i="1"/>
  <c r="L11" i="1"/>
  <c r="U10" i="1"/>
  <c r="R10" i="1"/>
  <c r="L10" i="1"/>
  <c r="U9" i="1"/>
  <c r="R9" i="1"/>
  <c r="L9" i="1"/>
  <c r="U8" i="1"/>
  <c r="R8" i="1"/>
  <c r="L8" i="1"/>
  <c r="M8" i="1" s="1"/>
  <c r="N8" i="1" s="1"/>
  <c r="I8" i="1"/>
  <c r="J8" i="1" s="1"/>
  <c r="AC13" i="1" l="1"/>
  <c r="AB13" i="1" s="1"/>
  <c r="Y11" i="1"/>
  <c r="AA11" i="1" s="1"/>
  <c r="Y12" i="1"/>
  <c r="AA12" i="1" s="1"/>
  <c r="AC12" i="1"/>
  <c r="AB12" i="1" s="1"/>
  <c r="O8" i="1"/>
  <c r="AN8" i="1" s="1"/>
  <c r="AC8" i="1"/>
  <c r="AB8" i="1" s="1"/>
  <c r="AC11" i="1"/>
  <c r="AB11" i="1" s="1"/>
  <c r="Y13" i="1"/>
  <c r="Y8" i="1"/>
  <c r="Z12" i="1" l="1"/>
  <c r="AD12" i="1" s="1"/>
  <c r="Z11" i="1"/>
  <c r="AD11" i="1" s="1"/>
  <c r="AA13" i="1"/>
  <c r="Z13" i="1"/>
  <c r="AD13" i="1" s="1"/>
  <c r="Z8" i="1"/>
  <c r="AD8" i="1" s="1"/>
  <c r="AA8" i="1"/>
  <c r="Y9" i="1" s="1"/>
  <c r="AC10" i="1"/>
  <c r="AB10" i="1" s="1"/>
  <c r="AC9" i="1"/>
  <c r="AB9" i="1" s="1"/>
  <c r="AA9" i="1" l="1"/>
  <c r="Y10" i="1" s="1"/>
  <c r="Z9" i="1"/>
  <c r="AD9" i="1" s="1"/>
  <c r="AA10" i="1" l="1"/>
  <c r="Z10" i="1"/>
  <c r="AD10" i="1" s="1"/>
  <c r="AO8" i="1" s="1"/>
  <c r="U19" i="1" l="1"/>
  <c r="R19" i="1"/>
  <c r="L19" i="1"/>
  <c r="U18" i="1"/>
  <c r="R18" i="1"/>
  <c r="L18" i="1"/>
  <c r="U17" i="1"/>
  <c r="R17" i="1"/>
  <c r="L17" i="1"/>
  <c r="U16" i="1"/>
  <c r="R16" i="1"/>
  <c r="L16" i="1"/>
  <c r="U15" i="1"/>
  <c r="R15" i="1"/>
  <c r="L15" i="1"/>
  <c r="U14" i="1"/>
  <c r="R14" i="1"/>
  <c r="L14" i="1"/>
  <c r="M14" i="1" s="1"/>
  <c r="N14" i="1" s="1"/>
  <c r="I14" i="1"/>
  <c r="J14" i="1" s="1"/>
  <c r="AC19" i="1" l="1"/>
  <c r="AB19" i="1" s="1"/>
  <c r="AC17" i="1"/>
  <c r="AB17" i="1" s="1"/>
  <c r="Y18" i="1"/>
  <c r="AA18" i="1" s="1"/>
  <c r="Y17" i="1"/>
  <c r="AA17" i="1" s="1"/>
  <c r="AC14" i="1"/>
  <c r="AB14" i="1" s="1"/>
  <c r="AC18" i="1"/>
  <c r="AB18" i="1" s="1"/>
  <c r="O14" i="1"/>
  <c r="AN14" i="1" s="1"/>
  <c r="Y19" i="1"/>
  <c r="Y14" i="1"/>
  <c r="AC15" i="1" l="1"/>
  <c r="AB15" i="1" s="1"/>
  <c r="Z18" i="1"/>
  <c r="AD18" i="1" s="1"/>
  <c r="AC16" i="1"/>
  <c r="AB16" i="1" s="1"/>
  <c r="Z17" i="1"/>
  <c r="AD17" i="1" s="1"/>
  <c r="AA19" i="1"/>
  <c r="Z19" i="1"/>
  <c r="AD19" i="1" s="1"/>
  <c r="AA14" i="1"/>
  <c r="Y15" i="1" s="1"/>
  <c r="Z14" i="1"/>
  <c r="AD14" i="1" s="1"/>
  <c r="AA15" i="1" l="1"/>
  <c r="Y16" i="1" s="1"/>
  <c r="Z15" i="1"/>
  <c r="AD15" i="1" s="1"/>
  <c r="AA16" i="1" l="1"/>
  <c r="Z16" i="1"/>
  <c r="AD16" i="1" s="1"/>
  <c r="AO14" i="1" s="1"/>
  <c r="B220" i="13" l="1" a="1"/>
  <c r="B220" i="13" s="1"/>
  <c r="F220" i="13" l="1"/>
  <c r="F210" i="13"/>
  <c r="F211" i="13"/>
  <c r="F212" i="13"/>
  <c r="F213" i="13"/>
  <c r="F214" i="13"/>
  <c r="F215" i="13"/>
  <c r="F216" i="13"/>
  <c r="F217" i="13"/>
  <c r="F218" i="13"/>
  <c r="F219" i="13"/>
  <c r="F209" i="13"/>
  <c r="AL44" i="18" l="1"/>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H209" i="13"/>
  <c r="T52" i="19" l="1"/>
  <c r="AF32" i="19"/>
  <c r="N22" i="19"/>
  <c r="AL32" i="19"/>
  <c r="N52" i="19"/>
  <c r="AL12" i="19"/>
  <c r="AL52" i="19"/>
  <c r="AL42" i="19"/>
  <c r="T32" i="19"/>
  <c r="AF12" i="19"/>
  <c r="N32" i="19"/>
  <c r="T42" i="19"/>
  <c r="N12" i="19"/>
  <c r="Z52" i="19"/>
  <c r="Z42" i="19"/>
  <c r="AL22" i="19"/>
  <c r="T12" i="19"/>
  <c r="T22" i="19"/>
  <c r="Z32" i="19"/>
  <c r="AF52" i="19"/>
  <c r="N42" i="19"/>
  <c r="Z22" i="19"/>
  <c r="AF42" i="19"/>
  <c r="Z12" i="19"/>
  <c r="AF22" i="19"/>
  <c r="AM42" i="19"/>
  <c r="U32" i="19"/>
  <c r="AG12" i="19"/>
  <c r="U42" i="19"/>
  <c r="O12" i="19"/>
  <c r="U22" i="19"/>
  <c r="AM52" i="19"/>
  <c r="AA42" i="19"/>
  <c r="AM22" i="19"/>
  <c r="U12" i="19"/>
  <c r="AA32" i="19"/>
  <c r="AG42" i="19"/>
  <c r="AA12" i="19"/>
  <c r="AG52" i="19"/>
  <c r="O42" i="19"/>
  <c r="AA22" i="19"/>
  <c r="AA52" i="19"/>
  <c r="AG22" i="19"/>
  <c r="AM32" i="19"/>
  <c r="U52" i="19"/>
  <c r="AG32" i="19"/>
  <c r="O22" i="19"/>
  <c r="O52" i="19"/>
  <c r="AM12" i="19"/>
  <c r="O32" i="19"/>
  <c r="J40" i="19" l="1"/>
  <c r="V30" i="19"/>
  <c r="AH20" i="19"/>
  <c r="J30" i="19"/>
  <c r="V20" i="19"/>
  <c r="AH10" i="19"/>
  <c r="P10" i="19"/>
  <c r="AB50" i="19"/>
  <c r="J50" i="19"/>
  <c r="AB40" i="19"/>
  <c r="P30" i="19"/>
  <c r="V50" i="19"/>
  <c r="P50" i="19"/>
  <c r="AB10" i="19"/>
  <c r="AH30" i="19"/>
  <c r="AH40" i="19"/>
  <c r="J10" i="19"/>
  <c r="AB20" i="19"/>
  <c r="AH50" i="19"/>
  <c r="V10" i="19"/>
  <c r="P20" i="19"/>
  <c r="J20" i="19"/>
  <c r="P40" i="19"/>
  <c r="V40" i="19"/>
  <c r="AB30" i="19"/>
  <c r="J11" i="19"/>
  <c r="V11" i="19"/>
  <c r="AB21" i="19"/>
  <c r="P31" i="19"/>
  <c r="J31" i="19"/>
  <c r="AB41" i="19"/>
  <c r="AH41" i="19"/>
  <c r="P41" i="19"/>
  <c r="J21" i="19"/>
  <c r="AB31" i="19"/>
  <c r="AB51" i="19"/>
  <c r="P21" i="19"/>
  <c r="V41" i="19"/>
  <c r="V31" i="19"/>
  <c r="AH21" i="19"/>
  <c r="AB11" i="19"/>
  <c r="P51" i="19"/>
  <c r="V21" i="19"/>
  <c r="AH31" i="19"/>
  <c r="V51" i="19"/>
  <c r="J51" i="19"/>
  <c r="AH51" i="19"/>
  <c r="AH11" i="19"/>
  <c r="J41" i="19"/>
  <c r="P11" i="19"/>
  <c r="J47" i="19"/>
  <c r="V27" i="19"/>
  <c r="AH7" i="19"/>
  <c r="P47" i="19"/>
  <c r="AB27" i="19"/>
  <c r="J17" i="19"/>
  <c r="V47" i="19"/>
  <c r="J37" i="19"/>
  <c r="AB37" i="19"/>
  <c r="J27" i="19"/>
  <c r="V7" i="19"/>
  <c r="AH37" i="19"/>
  <c r="P27" i="19"/>
  <c r="AB7" i="19"/>
  <c r="P17" i="19"/>
  <c r="V17" i="19"/>
  <c r="AH47" i="19"/>
  <c r="P37" i="19"/>
  <c r="AB17" i="19"/>
  <c r="J7" i="19"/>
  <c r="V37" i="19"/>
  <c r="AH17" i="19"/>
  <c r="P7" i="19"/>
  <c r="AH27" i="19"/>
  <c r="AB47" i="19"/>
  <c r="AB33" i="19"/>
  <c r="V13" i="19"/>
  <c r="AH23" i="19"/>
  <c r="J23" i="19"/>
  <c r="AB43" i="19"/>
  <c r="P43" i="19"/>
  <c r="AB53" i="19"/>
  <c r="V33" i="19"/>
  <c r="P13" i="19"/>
  <c r="J43" i="19"/>
  <c r="V23" i="19"/>
  <c r="J53" i="19"/>
  <c r="AH43" i="19"/>
  <c r="AH13" i="19"/>
  <c r="P53" i="19"/>
  <c r="V43" i="19"/>
  <c r="J13" i="19"/>
  <c r="P33" i="19"/>
  <c r="J33" i="19"/>
  <c r="V53" i="19"/>
  <c r="AH33" i="19"/>
  <c r="AB23" i="19"/>
  <c r="AH53" i="19"/>
  <c r="P23" i="19"/>
  <c r="AB13" i="19"/>
  <c r="J39" i="19"/>
  <c r="AB39" i="19"/>
  <c r="AH49" i="19"/>
  <c r="P39" i="19"/>
  <c r="P9" i="19"/>
  <c r="AB9" i="19"/>
  <c r="V39" i="19"/>
  <c r="V9" i="19"/>
  <c r="AH9" i="19"/>
  <c r="J29" i="19"/>
  <c r="J19" i="19"/>
  <c r="V29" i="19"/>
  <c r="P29" i="19"/>
  <c r="AB49" i="19"/>
  <c r="AB29" i="19"/>
  <c r="P49" i="19"/>
  <c r="J49" i="19"/>
  <c r="P19" i="19"/>
  <c r="V49" i="19"/>
  <c r="AH39" i="19"/>
  <c r="V19" i="19"/>
  <c r="AH19" i="19"/>
  <c r="AH29" i="19"/>
  <c r="AB19" i="19"/>
  <c r="J9" i="19"/>
  <c r="AH8" i="19"/>
  <c r="P18" i="19"/>
  <c r="AB28" i="19"/>
  <c r="P38" i="19"/>
  <c r="AB48" i="19"/>
  <c r="J28" i="19"/>
  <c r="V38" i="19"/>
  <c r="AH38" i="19"/>
  <c r="V8" i="19"/>
  <c r="J48" i="19"/>
  <c r="AH28" i="19"/>
  <c r="P48" i="19"/>
  <c r="AH48" i="19"/>
  <c r="V28" i="19"/>
  <c r="AB38" i="19"/>
  <c r="AB18" i="19"/>
  <c r="AH18" i="19"/>
  <c r="AB8" i="19"/>
  <c r="V48" i="19"/>
  <c r="J8" i="19"/>
  <c r="V18" i="19"/>
  <c r="P28" i="19"/>
  <c r="P8" i="19"/>
  <c r="J18" i="19"/>
  <c r="J38" i="19"/>
  <c r="V32" i="19"/>
  <c r="P42" i="19"/>
  <c r="J12" i="19"/>
  <c r="J32" i="19"/>
  <c r="AB52" i="19"/>
  <c r="J22" i="19"/>
  <c r="V22" i="19"/>
  <c r="J52" i="19"/>
  <c r="AH12" i="19"/>
  <c r="J42" i="19"/>
  <c r="AH42" i="19"/>
  <c r="P32" i="19"/>
  <c r="AB12" i="19"/>
  <c r="AH32" i="19"/>
  <c r="AB32" i="19"/>
  <c r="AB42" i="19"/>
  <c r="V42" i="19"/>
  <c r="V12" i="19"/>
  <c r="V52" i="19"/>
  <c r="AB22" i="19"/>
  <c r="AH52" i="19"/>
  <c r="AH22" i="19"/>
  <c r="P22" i="19"/>
  <c r="P12" i="19"/>
  <c r="P52" i="19"/>
  <c r="W37" i="19" l="1"/>
  <c r="AI7" i="19"/>
  <c r="W17" i="19"/>
  <c r="W27" i="19"/>
  <c r="Q47" i="19"/>
  <c r="W7" i="19"/>
  <c r="AI17" i="19"/>
  <c r="K47" i="19"/>
  <c r="AI47" i="19"/>
  <c r="Q27" i="19"/>
  <c r="AC27" i="19"/>
  <c r="AC47" i="19"/>
  <c r="AC37" i="19"/>
  <c r="AI37" i="19"/>
  <c r="AC17" i="19"/>
  <c r="K37" i="19"/>
  <c r="AC7" i="19"/>
  <c r="W47" i="19"/>
  <c r="Q37" i="19"/>
  <c r="AI27" i="19"/>
  <c r="Q7" i="19"/>
  <c r="K27" i="19"/>
  <c r="K17" i="19"/>
  <c r="K7" i="19"/>
  <c r="Q17" i="19"/>
  <c r="K35" i="19"/>
  <c r="AC25" i="19"/>
  <c r="K45" i="19"/>
  <c r="AI45" i="19"/>
  <c r="W45" i="19"/>
  <c r="Q35" i="19"/>
  <c r="K55" i="19"/>
  <c r="AC15" i="19"/>
  <c r="Q15" i="19"/>
  <c r="AC35" i="19"/>
  <c r="AI35" i="19"/>
  <c r="Q55" i="19"/>
  <c r="AI25" i="19"/>
  <c r="AC55" i="19"/>
  <c r="W15" i="19"/>
  <c r="K15" i="19"/>
  <c r="W25" i="19"/>
  <c r="AC45" i="19"/>
  <c r="Q25" i="19"/>
  <c r="W55" i="19"/>
  <c r="K25" i="19"/>
  <c r="Q45" i="19"/>
  <c r="W35" i="19"/>
  <c r="AI55" i="19"/>
  <c r="AI15" i="19"/>
  <c r="AC14" i="19"/>
  <c r="Q14" i="19"/>
  <c r="AI54" i="19"/>
  <c r="Q54" i="19"/>
  <c r="Q24" i="19"/>
  <c r="AI14" i="19"/>
  <c r="W24" i="19"/>
  <c r="AC44" i="19"/>
  <c r="K54" i="19"/>
  <c r="AI34" i="19"/>
  <c r="W14" i="19"/>
  <c r="K24" i="19"/>
  <c r="AC24" i="19"/>
  <c r="AI44" i="19"/>
  <c r="AI24" i="19"/>
  <c r="W44" i="19"/>
  <c r="Q44" i="19"/>
  <c r="AC54" i="19"/>
  <c r="K44" i="19"/>
  <c r="Q34" i="19"/>
  <c r="W34" i="19"/>
  <c r="K14" i="19"/>
  <c r="W54" i="19"/>
  <c r="K34" i="19"/>
  <c r="AC34" i="19"/>
  <c r="AI41" i="19"/>
  <c r="W11" i="19"/>
  <c r="Q51" i="19"/>
  <c r="W21" i="19"/>
  <c r="AC11" i="19"/>
  <c r="AI51" i="19"/>
  <c r="W41" i="19"/>
  <c r="K41" i="19"/>
  <c r="AI11" i="19"/>
  <c r="AC41" i="19"/>
  <c r="AC21" i="19"/>
  <c r="K31" i="19"/>
  <c r="W51" i="19"/>
  <c r="Q21" i="19"/>
  <c r="Q31" i="19"/>
  <c r="AI21" i="19"/>
  <c r="K51" i="19"/>
  <c r="K21" i="19"/>
  <c r="AI31" i="19"/>
  <c r="Q41" i="19"/>
  <c r="K11" i="19"/>
  <c r="AC31" i="19"/>
  <c r="AC51" i="19"/>
  <c r="W31" i="19"/>
  <c r="Q11" i="19"/>
  <c r="AD55" i="19"/>
  <c r="R15" i="19"/>
  <c r="AJ35" i="19"/>
  <c r="X45" i="19"/>
  <c r="AJ15" i="19"/>
  <c r="AJ55" i="19"/>
  <c r="R25" i="19"/>
  <c r="X15" i="19"/>
  <c r="R55" i="19"/>
  <c r="X55" i="19"/>
  <c r="AD15" i="19"/>
  <c r="L35" i="19"/>
  <c r="L15" i="19"/>
  <c r="L45" i="19"/>
  <c r="AD45" i="19"/>
  <c r="L25" i="19"/>
  <c r="AD25" i="19"/>
  <c r="X35" i="19"/>
  <c r="X25" i="19"/>
  <c r="R35" i="19"/>
  <c r="AJ25" i="19"/>
  <c r="AD35" i="19"/>
  <c r="R45" i="19"/>
  <c r="AJ45" i="19"/>
  <c r="L55" i="19"/>
  <c r="P54" i="19"/>
  <c r="AH14" i="19"/>
  <c r="AB14" i="19"/>
  <c r="AH34" i="19"/>
  <c r="AB54" i="19"/>
  <c r="AH54" i="19"/>
  <c r="V14" i="19"/>
  <c r="J54" i="19"/>
  <c r="AH44" i="19"/>
  <c r="V54" i="19"/>
  <c r="J14" i="19"/>
  <c r="AH24" i="19"/>
  <c r="V34" i="19"/>
  <c r="AB44" i="19"/>
  <c r="AB34" i="19"/>
  <c r="P14" i="19"/>
  <c r="V24" i="19"/>
  <c r="AB24" i="19"/>
  <c r="V44" i="19"/>
  <c r="P34" i="19"/>
  <c r="J34" i="19"/>
  <c r="P24" i="19"/>
  <c r="J44" i="19"/>
  <c r="J24" i="19"/>
  <c r="P44" i="19"/>
  <c r="AJ52" i="19"/>
  <c r="AJ32" i="19"/>
  <c r="L32" i="19"/>
  <c r="AJ42" i="19"/>
  <c r="L12" i="19"/>
  <c r="L52" i="19"/>
  <c r="X12" i="19"/>
  <c r="R12" i="19"/>
  <c r="AD42" i="19"/>
  <c r="X42" i="19"/>
  <c r="AJ12" i="19"/>
  <c r="X32" i="19"/>
  <c r="R52" i="19"/>
  <c r="R32" i="19"/>
  <c r="X22" i="19"/>
  <c r="AJ22" i="19"/>
  <c r="L22" i="19"/>
  <c r="R22" i="19"/>
  <c r="AD12" i="19"/>
  <c r="AD32" i="19"/>
  <c r="AD22" i="19"/>
  <c r="X52" i="19"/>
  <c r="AD52" i="19"/>
  <c r="L42" i="19"/>
  <c r="R42" i="19"/>
  <c r="AJ21" i="19"/>
  <c r="AD31" i="19"/>
  <c r="R21" i="19"/>
  <c r="AD41" i="19"/>
  <c r="AJ11" i="19"/>
  <c r="AJ51" i="19"/>
  <c r="L41" i="19"/>
  <c r="AD11" i="19"/>
  <c r="L21" i="19"/>
  <c r="L11" i="19"/>
  <c r="X51" i="19"/>
  <c r="X21" i="19"/>
  <c r="R11" i="19"/>
  <c r="R31" i="19"/>
  <c r="AJ41" i="19"/>
  <c r="L31" i="19"/>
  <c r="R51" i="19"/>
  <c r="X31" i="19"/>
  <c r="X11" i="19"/>
  <c r="X41" i="19"/>
  <c r="AJ31" i="19"/>
  <c r="AD51" i="19"/>
  <c r="R41" i="19"/>
  <c r="AD21" i="19"/>
  <c r="L51" i="19"/>
  <c r="K42" i="19"/>
  <c r="AC32" i="19"/>
  <c r="W42" i="19"/>
  <c r="AI52" i="19"/>
  <c r="K22" i="19"/>
  <c r="Q32" i="19"/>
  <c r="AI12" i="19"/>
  <c r="AC52" i="19"/>
  <c r="Q42" i="19"/>
  <c r="AC42" i="19"/>
  <c r="K12" i="19"/>
  <c r="Q22" i="19"/>
  <c r="W52" i="19"/>
  <c r="AI42" i="19"/>
  <c r="W32" i="19"/>
  <c r="AI22" i="19"/>
  <c r="W12" i="19"/>
  <c r="AI32" i="19"/>
  <c r="AC12" i="19"/>
  <c r="Q12" i="19"/>
  <c r="Q52" i="19"/>
  <c r="K32" i="19"/>
  <c r="W22" i="19"/>
  <c r="K52" i="19"/>
  <c r="AC22" i="19"/>
  <c r="AC40" i="19"/>
  <c r="W10" i="19"/>
  <c r="AC50" i="19"/>
  <c r="Q10" i="19"/>
  <c r="Q30" i="19"/>
  <c r="W50" i="19"/>
  <c r="K40" i="19"/>
  <c r="Q50" i="19"/>
  <c r="W20" i="19"/>
  <c r="K10" i="19"/>
  <c r="Q40" i="19"/>
  <c r="K30" i="19"/>
  <c r="AI50" i="19"/>
  <c r="AI20" i="19"/>
  <c r="K50" i="19"/>
  <c r="AI40" i="19"/>
  <c r="W40" i="19"/>
  <c r="K20" i="19"/>
  <c r="AC10" i="19"/>
  <c r="AI10" i="19"/>
  <c r="AC20" i="19"/>
  <c r="AI30" i="19"/>
  <c r="AC30" i="19"/>
  <c r="W30" i="19"/>
  <c r="Q20" i="19"/>
  <c r="AI6" i="19"/>
  <c r="W26" i="19"/>
  <c r="AI36" i="19"/>
  <c r="W36" i="19"/>
  <c r="K46" i="19"/>
  <c r="Q46" i="19"/>
  <c r="W16" i="19"/>
  <c r="Q6" i="19"/>
  <c r="AI16" i="19"/>
  <c r="K26" i="19"/>
  <c r="AI26" i="19"/>
  <c r="AC36" i="19"/>
  <c r="AI46" i="19"/>
  <c r="AC26" i="19"/>
  <c r="K36" i="19"/>
  <c r="K6" i="19"/>
  <c r="Q36" i="19"/>
  <c r="W46" i="19"/>
  <c r="AC6" i="19"/>
  <c r="K16" i="19"/>
  <c r="AC46" i="19"/>
  <c r="AC16" i="19"/>
  <c r="Q26" i="19"/>
  <c r="Q16" i="19"/>
  <c r="W6" i="19"/>
  <c r="K39" i="19"/>
  <c r="AC39" i="19"/>
  <c r="W29" i="19"/>
  <c r="AI49" i="19"/>
  <c r="W9" i="19"/>
  <c r="AC19" i="19"/>
  <c r="Q49" i="19"/>
  <c r="W49" i="19"/>
  <c r="AC9" i="19"/>
  <c r="AI9" i="19"/>
  <c r="Q29" i="19"/>
  <c r="W39" i="19"/>
  <c r="Q39" i="19"/>
  <c r="K9" i="19"/>
  <c r="W19" i="19"/>
  <c r="AI39" i="19"/>
  <c r="K29" i="19"/>
  <c r="AC49" i="19"/>
  <c r="AI19" i="19"/>
  <c r="AC29" i="19"/>
  <c r="K19" i="19"/>
  <c r="K49" i="19"/>
  <c r="Q19" i="19"/>
  <c r="Q9" i="19"/>
  <c r="AI29" i="19"/>
  <c r="K23" i="19"/>
  <c r="AI43" i="19"/>
  <c r="AC43" i="19"/>
  <c r="AC53" i="19"/>
  <c r="W43" i="19"/>
  <c r="K13" i="19"/>
  <c r="Q53" i="19"/>
  <c r="AI53" i="19"/>
  <c r="K33" i="19"/>
  <c r="K43" i="19"/>
  <c r="AI33" i="19"/>
  <c r="AC33" i="19"/>
  <c r="Q33" i="19"/>
  <c r="AI23" i="19"/>
  <c r="K53" i="19"/>
  <c r="AC23" i="19"/>
  <c r="AC13" i="19"/>
  <c r="W23" i="19"/>
  <c r="W33" i="19"/>
  <c r="Q13" i="19"/>
  <c r="W13" i="19"/>
  <c r="AI13" i="19"/>
  <c r="Q43" i="19"/>
  <c r="Q23" i="19"/>
  <c r="W53" i="19"/>
  <c r="M12" i="19"/>
  <c r="AK42" i="19"/>
  <c r="AE32" i="19"/>
  <c r="M52" i="19"/>
  <c r="S12" i="19"/>
  <c r="M32" i="19"/>
  <c r="S52" i="19"/>
  <c r="Y52" i="19"/>
  <c r="Y42" i="19"/>
  <c r="AK12" i="19"/>
  <c r="S22" i="19"/>
  <c r="AE12" i="19"/>
  <c r="Y22" i="19"/>
  <c r="S32" i="19"/>
  <c r="AK52" i="19"/>
  <c r="M22" i="19"/>
  <c r="AK32" i="19"/>
  <c r="AE22" i="19"/>
  <c r="AE42" i="19"/>
  <c r="Y32" i="19"/>
  <c r="M42" i="19"/>
  <c r="Y12" i="19"/>
  <c r="AE52" i="19"/>
  <c r="AK22" i="19"/>
  <c r="S42" i="19"/>
  <c r="AC18" i="19"/>
  <c r="W28" i="19"/>
  <c r="W38" i="19"/>
  <c r="K18" i="19"/>
  <c r="AC8" i="19"/>
  <c r="AI48" i="19"/>
  <c r="AI28" i="19"/>
  <c r="K8" i="19"/>
  <c r="W18" i="19"/>
  <c r="W8" i="19"/>
  <c r="K38" i="19"/>
  <c r="AC28" i="19"/>
  <c r="AI8" i="19"/>
  <c r="Q8" i="19"/>
  <c r="W48" i="19"/>
  <c r="AI18" i="19"/>
  <c r="Q48" i="19"/>
  <c r="K48" i="19"/>
  <c r="Q38" i="19"/>
  <c r="K28" i="19"/>
  <c r="AC38" i="19"/>
  <c r="AC48" i="19"/>
  <c r="AI38" i="19"/>
  <c r="Q18" i="19"/>
  <c r="Q28" i="19"/>
  <c r="R40" i="19" l="1"/>
  <c r="AD10" i="19"/>
  <c r="X40" i="19"/>
  <c r="AJ10" i="19"/>
  <c r="R50" i="19"/>
  <c r="X10" i="19"/>
  <c r="R30" i="19"/>
  <c r="L10" i="19"/>
  <c r="L50" i="19"/>
  <c r="AJ20" i="19"/>
  <c r="AJ40" i="19"/>
  <c r="AD30" i="19"/>
  <c r="R20" i="19"/>
  <c r="AD50" i="19"/>
  <c r="AJ30" i="19"/>
  <c r="AJ50" i="19"/>
  <c r="X30" i="19"/>
  <c r="AD20" i="19"/>
  <c r="L40" i="19"/>
  <c r="X50" i="19"/>
  <c r="X20" i="19"/>
  <c r="AD40" i="19"/>
  <c r="R10" i="19"/>
  <c r="L30" i="19"/>
  <c r="L20" i="19"/>
  <c r="AD47" i="19"/>
  <c r="AJ27" i="19"/>
  <c r="AD27" i="19"/>
  <c r="AJ7" i="19"/>
  <c r="AJ37" i="19"/>
  <c r="L27" i="19"/>
  <c r="AD17" i="19"/>
  <c r="L37" i="19"/>
  <c r="R17" i="19"/>
  <c r="AJ17" i="19"/>
  <c r="X7" i="19"/>
  <c r="X47" i="19"/>
  <c r="L7" i="19"/>
  <c r="L17" i="19"/>
  <c r="R27" i="19"/>
  <c r="X27" i="19"/>
  <c r="R7" i="19"/>
  <c r="X17" i="19"/>
  <c r="AJ47" i="19"/>
  <c r="L47" i="19"/>
  <c r="R37" i="19"/>
  <c r="AD7" i="19"/>
  <c r="X37" i="19"/>
  <c r="R47" i="19"/>
  <c r="AD37" i="19"/>
  <c r="AJ43" i="19"/>
  <c r="AD33" i="19"/>
  <c r="X33" i="19"/>
  <c r="X13" i="19"/>
  <c r="AD43" i="19"/>
  <c r="L43" i="19"/>
  <c r="X23" i="19"/>
  <c r="R33" i="19"/>
  <c r="R43" i="19"/>
  <c r="AD53" i="19"/>
  <c r="AJ13" i="19"/>
  <c r="R23" i="19"/>
  <c r="R13" i="19"/>
  <c r="AJ53" i="19"/>
  <c r="L33" i="19"/>
  <c r="L23" i="19"/>
  <c r="X43" i="19"/>
  <c r="X53" i="19"/>
  <c r="AD13" i="19"/>
  <c r="L53" i="19"/>
  <c r="L13" i="19"/>
  <c r="AD23" i="19"/>
  <c r="AJ33" i="19"/>
  <c r="AJ23" i="19"/>
  <c r="R53" i="19"/>
  <c r="M55" i="19"/>
  <c r="AK15" i="19"/>
  <c r="AE25" i="19"/>
  <c r="Y35" i="19"/>
  <c r="M25" i="19"/>
  <c r="S55" i="19"/>
  <c r="S45" i="19"/>
  <c r="S35" i="19"/>
  <c r="M15" i="19"/>
  <c r="AE45" i="19"/>
  <c r="Y15" i="19"/>
  <c r="AK45" i="19"/>
  <c r="AE55" i="19"/>
  <c r="M35" i="19"/>
  <c r="M45" i="19"/>
  <c r="S25" i="19"/>
  <c r="AK35" i="19"/>
  <c r="Y25" i="19"/>
  <c r="AE15" i="19"/>
  <c r="Y45" i="19"/>
  <c r="AE35" i="19"/>
  <c r="AK25" i="19"/>
  <c r="Y55" i="19"/>
  <c r="S15" i="19"/>
  <c r="AK55" i="19"/>
  <c r="X8" i="19"/>
  <c r="R48" i="19"/>
  <c r="L8" i="19"/>
  <c r="AD38" i="19"/>
  <c r="AD48" i="19"/>
  <c r="AD8" i="19"/>
  <c r="R18" i="19"/>
  <c r="L38" i="19"/>
  <c r="AJ28" i="19"/>
  <c r="X18" i="19"/>
  <c r="X48" i="19"/>
  <c r="R28" i="19"/>
  <c r="L18" i="19"/>
  <c r="X28" i="19"/>
  <c r="R8" i="19"/>
  <c r="X38" i="19"/>
  <c r="AJ8" i="19"/>
  <c r="AD18" i="19"/>
  <c r="AJ38" i="19"/>
  <c r="L48" i="19"/>
  <c r="AJ48" i="19"/>
  <c r="AJ18" i="19"/>
  <c r="R38" i="19"/>
  <c r="AD28" i="19"/>
  <c r="L28" i="19"/>
  <c r="Z11" i="19"/>
  <c r="AF31" i="19"/>
  <c r="T51" i="19"/>
  <c r="N51" i="19"/>
  <c r="Z41" i="19"/>
  <c r="AF21" i="19"/>
  <c r="AL31" i="19"/>
  <c r="T31" i="19"/>
  <c r="Z31" i="19"/>
  <c r="N21" i="19"/>
  <c r="N31" i="19"/>
  <c r="AL11" i="19"/>
  <c r="T11" i="19"/>
  <c r="AF11" i="19"/>
  <c r="AL41" i="19"/>
  <c r="T21" i="19"/>
  <c r="Z21" i="19"/>
  <c r="AL51" i="19"/>
  <c r="N11" i="19"/>
  <c r="AF51" i="19"/>
  <c r="N41" i="19"/>
  <c r="Z51" i="19"/>
  <c r="AL21" i="19"/>
  <c r="T41" i="19"/>
  <c r="AF41" i="19"/>
  <c r="AE46" i="19"/>
  <c r="M36" i="19"/>
  <c r="Y16" i="19"/>
  <c r="AK46" i="19"/>
  <c r="S36" i="19"/>
  <c r="AE16" i="19"/>
  <c r="M6" i="19"/>
  <c r="AK16" i="19"/>
  <c r="M26" i="19"/>
  <c r="S46" i="19"/>
  <c r="AE26" i="19"/>
  <c r="M16" i="19"/>
  <c r="Y46" i="19"/>
  <c r="AK26" i="19"/>
  <c r="S16" i="19"/>
  <c r="Y6" i="19"/>
  <c r="AK36" i="19"/>
  <c r="S26" i="19"/>
  <c r="AE6" i="19"/>
  <c r="M46" i="19"/>
  <c r="Y26" i="19"/>
  <c r="AK6" i="19"/>
  <c r="Y36" i="19"/>
  <c r="S6" i="19"/>
  <c r="AE36" i="19"/>
  <c r="O11" i="19"/>
  <c r="O21" i="19"/>
  <c r="O51" i="19"/>
  <c r="AA31" i="19"/>
  <c r="AM31" i="19"/>
  <c r="AG51" i="19"/>
  <c r="AA41" i="19"/>
  <c r="AM11" i="19"/>
  <c r="U21" i="19"/>
  <c r="AG41" i="19"/>
  <c r="AM21" i="19"/>
  <c r="AM51" i="19"/>
  <c r="O41" i="19"/>
  <c r="U11" i="19"/>
  <c r="AG31" i="19"/>
  <c r="U41" i="19"/>
  <c r="AG11" i="19"/>
  <c r="AM41" i="19"/>
  <c r="AA21" i="19"/>
  <c r="AA51" i="19"/>
  <c r="U51" i="19"/>
  <c r="U31" i="19"/>
  <c r="AA11" i="19"/>
  <c r="AG21" i="19"/>
  <c r="O31" i="19"/>
  <c r="AJ46" i="19"/>
  <c r="AD46" i="19"/>
  <c r="L36" i="19"/>
  <c r="X16" i="19"/>
  <c r="AJ26" i="19"/>
  <c r="L46" i="19"/>
  <c r="X6" i="19"/>
  <c r="R36" i="19"/>
  <c r="X36" i="19"/>
  <c r="R6" i="19"/>
  <c r="AJ6" i="19"/>
  <c r="AD36" i="19"/>
  <c r="R46" i="19"/>
  <c r="AD26" i="19"/>
  <c r="L16" i="19"/>
  <c r="AD16" i="19"/>
  <c r="X46" i="19"/>
  <c r="X26" i="19"/>
  <c r="AJ36" i="19"/>
  <c r="R26" i="19"/>
  <c r="AD6" i="19"/>
  <c r="L6" i="19"/>
  <c r="L26" i="19"/>
  <c r="R16" i="19"/>
  <c r="AJ16" i="19"/>
  <c r="AE11" i="19"/>
  <c r="Y41" i="19"/>
  <c r="M41" i="19"/>
  <c r="Y21" i="19"/>
  <c r="AK41" i="19"/>
  <c r="S31" i="19"/>
  <c r="M31" i="19"/>
  <c r="M51" i="19"/>
  <c r="Y51" i="19"/>
  <c r="AK21" i="19"/>
  <c r="AK31" i="19"/>
  <c r="Y11" i="19"/>
  <c r="AE41" i="19"/>
  <c r="AE21" i="19"/>
  <c r="S51" i="19"/>
  <c r="AE51" i="19"/>
  <c r="AK51" i="19"/>
  <c r="M21" i="19"/>
  <c r="AE31" i="19"/>
  <c r="S41" i="19"/>
  <c r="AK11" i="19"/>
  <c r="S11" i="19"/>
  <c r="Y31" i="19"/>
  <c r="S21" i="19"/>
  <c r="M11" i="19"/>
  <c r="L54" i="19"/>
  <c r="AJ14" i="19"/>
  <c r="AD44" i="19"/>
  <c r="X54" i="19"/>
  <c r="R14" i="19"/>
  <c r="AD24" i="19"/>
  <c r="AD34" i="19"/>
  <c r="R54" i="19"/>
  <c r="L34" i="19"/>
  <c r="AJ34" i="19"/>
  <c r="X24" i="19"/>
  <c r="AJ24" i="19"/>
  <c r="X44" i="19"/>
  <c r="R24" i="19"/>
  <c r="X34" i="19"/>
  <c r="L14" i="19"/>
  <c r="AD14" i="19"/>
  <c r="L44" i="19"/>
  <c r="R44" i="19"/>
  <c r="AD54" i="19"/>
  <c r="X14" i="19"/>
  <c r="AJ44" i="19"/>
  <c r="R34" i="19"/>
  <c r="AJ54" i="19"/>
  <c r="L24" i="19"/>
  <c r="AD29" i="19"/>
  <c r="AD19" i="19"/>
  <c r="R39" i="19"/>
  <c r="R9" i="19"/>
  <c r="X49" i="19"/>
  <c r="X9" i="19"/>
  <c r="AD39" i="19"/>
  <c r="R29" i="19"/>
  <c r="L49" i="19"/>
  <c r="X19" i="19"/>
  <c r="X29" i="19"/>
  <c r="X39" i="19"/>
  <c r="L9" i="19"/>
  <c r="AD9" i="19"/>
  <c r="AJ49" i="19"/>
  <c r="L39" i="19"/>
  <c r="R19" i="19"/>
  <c r="AJ39" i="19"/>
  <c r="AJ29" i="19"/>
  <c r="AJ19" i="19"/>
  <c r="AJ9" i="19"/>
  <c r="AD49" i="19"/>
  <c r="L19" i="19"/>
  <c r="L29" i="19"/>
  <c r="R49" i="19"/>
  <c r="AG39" i="19" l="1"/>
  <c r="AG29" i="19"/>
  <c r="AM19" i="19"/>
  <c r="O39" i="19"/>
  <c r="AG49" i="19"/>
  <c r="O29" i="19"/>
  <c r="U29" i="19"/>
  <c r="O49" i="19"/>
  <c r="U49" i="19"/>
  <c r="AA19" i="19"/>
  <c r="U39" i="19"/>
  <c r="AG9" i="19"/>
  <c r="AA39" i="19"/>
  <c r="AM49" i="19"/>
  <c r="O19" i="19"/>
  <c r="AM39" i="19"/>
  <c r="AM29" i="19"/>
  <c r="O9" i="19"/>
  <c r="AM9" i="19"/>
  <c r="AA49" i="19"/>
  <c r="AG19" i="19"/>
  <c r="U9" i="19"/>
  <c r="U19" i="19"/>
  <c r="AA9" i="19"/>
  <c r="AA29" i="19"/>
  <c r="AE54" i="19"/>
  <c r="S24" i="19"/>
  <c r="AE34" i="19"/>
  <c r="Y54" i="19"/>
  <c r="AE14" i="19"/>
  <c r="Y34" i="19"/>
  <c r="M44" i="19"/>
  <c r="AK54" i="19"/>
  <c r="M24" i="19"/>
  <c r="AK34" i="19"/>
  <c r="Y14" i="19"/>
  <c r="AK14" i="19"/>
  <c r="Y24" i="19"/>
  <c r="S44" i="19"/>
  <c r="M34" i="19"/>
  <c r="AK44" i="19"/>
  <c r="M54" i="19"/>
  <c r="Y44" i="19"/>
  <c r="S54" i="19"/>
  <c r="AK24" i="19"/>
  <c r="M14" i="19"/>
  <c r="AE44" i="19"/>
  <c r="S34" i="19"/>
  <c r="AE24" i="19"/>
  <c r="S14" i="19"/>
  <c r="AK17" i="19"/>
  <c r="S27" i="19"/>
  <c r="S37" i="19"/>
  <c r="AE27" i="19"/>
  <c r="Y47" i="19"/>
  <c r="S7" i="19"/>
  <c r="M17" i="19"/>
  <c r="AE17" i="19"/>
  <c r="AK27" i="19"/>
  <c r="Y7" i="19"/>
  <c r="Y37" i="19"/>
  <c r="AE37" i="19"/>
  <c r="Y27" i="19"/>
  <c r="M47" i="19"/>
  <c r="AE47" i="19"/>
  <c r="Y17" i="19"/>
  <c r="AE7" i="19"/>
  <c r="M27" i="19"/>
  <c r="S47" i="19"/>
  <c r="M7" i="19"/>
  <c r="M37" i="19"/>
  <c r="S17" i="19"/>
  <c r="AK7" i="19"/>
  <c r="AK47" i="19"/>
  <c r="AK37" i="19"/>
  <c r="M48" i="19"/>
  <c r="S48" i="19"/>
  <c r="AE8" i="19"/>
  <c r="AE38" i="19"/>
  <c r="M38" i="19"/>
  <c r="AE18" i="19"/>
  <c r="AK48" i="19"/>
  <c r="AK18" i="19"/>
  <c r="AK28" i="19"/>
  <c r="S28" i="19"/>
  <c r="Y48" i="19"/>
  <c r="M8" i="19"/>
  <c r="Y8" i="19"/>
  <c r="M28" i="19"/>
  <c r="AK38" i="19"/>
  <c r="M18" i="19"/>
  <c r="Y28" i="19"/>
  <c r="S38" i="19"/>
  <c r="AE48" i="19"/>
  <c r="Y18" i="19"/>
  <c r="AK8" i="19"/>
  <c r="Y38" i="19"/>
  <c r="S8" i="19"/>
  <c r="S18" i="19"/>
  <c r="AE28" i="19"/>
  <c r="AA55" i="19"/>
  <c r="O45" i="19"/>
  <c r="AA15" i="19"/>
  <c r="AM55" i="19"/>
  <c r="O55" i="19"/>
  <c r="AG35" i="19"/>
  <c r="AM25" i="19"/>
  <c r="AM35" i="19"/>
  <c r="AA25" i="19"/>
  <c r="AM45" i="19"/>
  <c r="AG25" i="19"/>
  <c r="AA35" i="19"/>
  <c r="O25" i="19"/>
  <c r="U25" i="19"/>
  <c r="AG45" i="19"/>
  <c r="U35" i="19"/>
  <c r="AA45" i="19"/>
  <c r="AM15" i="19"/>
  <c r="U45" i="19"/>
  <c r="O35" i="19"/>
  <c r="O15" i="19"/>
  <c r="AG15" i="19"/>
  <c r="U15" i="19"/>
  <c r="AG55" i="19"/>
  <c r="U55" i="19"/>
  <c r="AE40" i="19"/>
  <c r="Y30" i="19"/>
  <c r="M20" i="19"/>
  <c r="Y20" i="19"/>
  <c r="M40" i="19"/>
  <c r="M10" i="19"/>
  <c r="AK20" i="19"/>
  <c r="AK10" i="19"/>
  <c r="AK30" i="19"/>
  <c r="Y40" i="19"/>
  <c r="S40" i="19"/>
  <c r="AE30" i="19"/>
  <c r="Y10" i="19"/>
  <c r="M30" i="19"/>
  <c r="AE50" i="19"/>
  <c r="AE20" i="19"/>
  <c r="S50" i="19"/>
  <c r="S10" i="19"/>
  <c r="Y50" i="19"/>
  <c r="S30" i="19"/>
  <c r="AK50" i="19"/>
  <c r="AE10" i="19"/>
  <c r="S20" i="19"/>
  <c r="M50" i="19"/>
  <c r="AK40" i="19"/>
  <c r="AF39" i="19"/>
  <c r="AL19" i="19"/>
  <c r="N39" i="19"/>
  <c r="Z19" i="19"/>
  <c r="AF19" i="19"/>
  <c r="N29" i="19"/>
  <c r="AL29" i="19"/>
  <c r="AL39" i="19"/>
  <c r="AF49" i="19"/>
  <c r="AF9" i="19"/>
  <c r="AL9" i="19"/>
  <c r="N49" i="19"/>
  <c r="Z9" i="19"/>
  <c r="Z49" i="19"/>
  <c r="N19" i="19"/>
  <c r="Z39" i="19"/>
  <c r="T9" i="19"/>
  <c r="T39" i="19"/>
  <c r="Z29" i="19"/>
  <c r="N9" i="19"/>
  <c r="T49" i="19"/>
  <c r="T19" i="19"/>
  <c r="AL49" i="19"/>
  <c r="T29" i="19"/>
  <c r="AF29" i="19"/>
  <c r="T18" i="19"/>
  <c r="N48" i="19"/>
  <c r="N8" i="19"/>
  <c r="T28" i="19"/>
  <c r="AF38" i="19"/>
  <c r="Z28" i="19"/>
  <c r="Z18" i="19"/>
  <c r="AF8" i="19"/>
  <c r="AL8" i="19"/>
  <c r="Z48" i="19"/>
  <c r="AL48" i="19"/>
  <c r="AL28" i="19"/>
  <c r="N38" i="19"/>
  <c r="AL38" i="19"/>
  <c r="AF28" i="19"/>
  <c r="AF18" i="19"/>
  <c r="AL18" i="19"/>
  <c r="Z8" i="19"/>
  <c r="T48" i="19"/>
  <c r="T8" i="19"/>
  <c r="T38" i="19"/>
  <c r="Z38" i="19"/>
  <c r="AF48" i="19"/>
  <c r="N28" i="19"/>
  <c r="N18" i="19"/>
  <c r="AL55" i="19"/>
  <c r="Z45" i="19"/>
  <c r="Z35" i="19"/>
  <c r="N25" i="19"/>
  <c r="Z55" i="19"/>
  <c r="N45" i="19"/>
  <c r="T35" i="19"/>
  <c r="T45" i="19"/>
  <c r="AL25" i="19"/>
  <c r="AL15" i="19"/>
  <c r="N35" i="19"/>
  <c r="AL35" i="19"/>
  <c r="Z25" i="19"/>
  <c r="AF25" i="19"/>
  <c r="T15" i="19"/>
  <c r="T55" i="19"/>
  <c r="AL45" i="19"/>
  <c r="T25" i="19"/>
  <c r="AF45" i="19"/>
  <c r="AF15" i="19"/>
  <c r="N15" i="19"/>
  <c r="AF55" i="19"/>
  <c r="N55" i="19"/>
  <c r="Z15" i="19"/>
  <c r="AF35" i="19"/>
  <c r="S39" i="19"/>
  <c r="M49" i="19"/>
  <c r="AE19" i="19"/>
  <c r="S49" i="19"/>
  <c r="AK19" i="19"/>
  <c r="Y9" i="19"/>
  <c r="M29" i="19"/>
  <c r="AE49" i="19"/>
  <c r="Y39" i="19"/>
  <c r="AK49" i="19"/>
  <c r="AK29" i="19"/>
  <c r="AK39" i="19"/>
  <c r="S19" i="19"/>
  <c r="M19" i="19"/>
  <c r="AE9" i="19"/>
  <c r="AE39" i="19"/>
  <c r="M39" i="19"/>
  <c r="AK9" i="19"/>
  <c r="Y19" i="19"/>
  <c r="S29" i="19"/>
  <c r="S9" i="19"/>
  <c r="AE29" i="19"/>
  <c r="Y49" i="19"/>
  <c r="M9" i="19"/>
  <c r="Y29" i="19"/>
  <c r="AM46" i="19"/>
  <c r="U36" i="19"/>
  <c r="AG16" i="19"/>
  <c r="O6" i="19"/>
  <c r="AA36" i="19"/>
  <c r="AM16" i="19"/>
  <c r="U6" i="19"/>
  <c r="AG46" i="19"/>
  <c r="AA16" i="19"/>
  <c r="AA6" i="19"/>
  <c r="AG6" i="19"/>
  <c r="AA46" i="19"/>
  <c r="AM26" i="19"/>
  <c r="U16" i="19"/>
  <c r="O36" i="19"/>
  <c r="U26" i="19"/>
  <c r="O46" i="19"/>
  <c r="AA26" i="19"/>
  <c r="AM6" i="19"/>
  <c r="U46" i="19"/>
  <c r="AG26" i="19"/>
  <c r="O16" i="19"/>
  <c r="AG36" i="19"/>
  <c r="O26" i="19"/>
  <c r="AM36" i="19"/>
  <c r="O8" i="19"/>
  <c r="AA48" i="19"/>
  <c r="AM38" i="19"/>
  <c r="U48" i="19"/>
  <c r="AA18" i="19"/>
  <c r="AG18" i="19"/>
  <c r="AG48" i="19"/>
  <c r="AM18" i="19"/>
  <c r="AA28" i="19"/>
  <c r="AG28" i="19"/>
  <c r="AA8" i="19"/>
  <c r="U18" i="19"/>
  <c r="AG38" i="19"/>
  <c r="U38" i="19"/>
  <c r="AM8" i="19"/>
  <c r="AA38" i="19"/>
  <c r="AM48" i="19"/>
  <c r="U28" i="19"/>
  <c r="O38" i="19"/>
  <c r="U8" i="19"/>
  <c r="AG8" i="19"/>
  <c r="O18" i="19"/>
  <c r="O28" i="19"/>
  <c r="O48" i="19"/>
  <c r="AM28" i="19"/>
  <c r="Y33" i="19"/>
  <c r="AE13" i="19"/>
  <c r="S23" i="19"/>
  <c r="Y13" i="19"/>
  <c r="AE23" i="19"/>
  <c r="AK33" i="19"/>
  <c r="AK13" i="19"/>
  <c r="S43" i="19"/>
  <c r="M23" i="19"/>
  <c r="Y43" i="19"/>
  <c r="M43" i="19"/>
  <c r="AE43" i="19"/>
  <c r="AE53" i="19"/>
  <c r="M13" i="19"/>
  <c r="AK43" i="19"/>
  <c r="AK23" i="19"/>
  <c r="Y23" i="19"/>
  <c r="AE33" i="19"/>
  <c r="M53" i="19"/>
  <c r="S13" i="19"/>
  <c r="S33" i="19"/>
  <c r="AK53" i="19"/>
  <c r="Y53" i="19"/>
  <c r="S53" i="19"/>
  <c r="M33" i="19"/>
  <c r="AF6" i="19"/>
  <c r="N46" i="19"/>
  <c r="Z26" i="19"/>
  <c r="AL6" i="19"/>
  <c r="AL36" i="19"/>
  <c r="AF26" i="19"/>
  <c r="Z6" i="19"/>
  <c r="T26" i="19"/>
  <c r="Z46" i="19"/>
  <c r="AF46" i="19"/>
  <c r="T46" i="19"/>
  <c r="T6" i="19"/>
  <c r="AF36" i="19"/>
  <c r="N26" i="19"/>
  <c r="Z16" i="19"/>
  <c r="AL26" i="19"/>
  <c r="Z36" i="19"/>
  <c r="N36" i="19"/>
  <c r="AL46" i="19"/>
  <c r="T36" i="19"/>
  <c r="AF16" i="19"/>
  <c r="N6" i="19"/>
  <c r="N16" i="19"/>
  <c r="AL16" i="19"/>
  <c r="T16" i="19"/>
  <c r="AG24" i="19" l="1"/>
  <c r="O44" i="19"/>
  <c r="O24" i="19"/>
  <c r="AM14" i="19"/>
  <c r="AG34" i="19"/>
  <c r="O34" i="19"/>
  <c r="AA44" i="19"/>
  <c r="O14" i="19"/>
  <c r="AA54" i="19"/>
  <c r="U14" i="19"/>
  <c r="AM44" i="19"/>
  <c r="AA34" i="19"/>
  <c r="AM24" i="19"/>
  <c r="AM54" i="19"/>
  <c r="AG14" i="19"/>
  <c r="AM34" i="19"/>
  <c r="U54" i="19"/>
  <c r="AG44" i="19"/>
  <c r="AA24" i="19"/>
  <c r="AG54" i="19"/>
  <c r="U34" i="19"/>
  <c r="U24" i="19"/>
  <c r="AA14" i="19"/>
  <c r="O54" i="19"/>
  <c r="U44" i="19"/>
  <c r="U43" i="19"/>
  <c r="U13" i="19"/>
  <c r="AM53" i="19"/>
  <c r="AA53" i="19"/>
  <c r="AA43" i="19"/>
  <c r="O53" i="19"/>
  <c r="O23" i="19"/>
  <c r="O13" i="19"/>
  <c r="AG43" i="19"/>
  <c r="U33" i="19"/>
  <c r="U23" i="19"/>
  <c r="AM13" i="19"/>
  <c r="AM23" i="19"/>
  <c r="AG13" i="19"/>
  <c r="AA23" i="19"/>
  <c r="AG33" i="19"/>
  <c r="AA33" i="19"/>
  <c r="AM33" i="19"/>
  <c r="AA13" i="19"/>
  <c r="AG23" i="19"/>
  <c r="U53" i="19"/>
  <c r="AG53" i="19"/>
  <c r="O43" i="19"/>
  <c r="AM43" i="19"/>
  <c r="O33" i="19"/>
  <c r="AF54" i="19"/>
  <c r="AL34" i="19"/>
  <c r="AF34" i="19"/>
  <c r="AL14" i="19"/>
  <c r="AF44" i="19"/>
  <c r="T44" i="19"/>
  <c r="N14" i="19"/>
  <c r="N44" i="19"/>
  <c r="T24" i="19"/>
  <c r="N24" i="19"/>
  <c r="AL44" i="19"/>
  <c r="N34" i="19"/>
  <c r="Z44" i="19"/>
  <c r="Z24" i="19"/>
  <c r="T14" i="19"/>
  <c r="N54" i="19"/>
  <c r="T34" i="19"/>
  <c r="Z14" i="19"/>
  <c r="AF24" i="19"/>
  <c r="AF14" i="19"/>
  <c r="Z54" i="19"/>
  <c r="AL54" i="19"/>
  <c r="T54" i="19"/>
  <c r="AL24" i="19"/>
  <c r="Z34" i="19"/>
  <c r="AF53" i="19"/>
  <c r="T43" i="19"/>
  <c r="Z53" i="19"/>
  <c r="N43" i="19"/>
  <c r="T23" i="19"/>
  <c r="AF43" i="19"/>
  <c r="Z13" i="19"/>
  <c r="Z43" i="19"/>
  <c r="AF23" i="19"/>
  <c r="AL13" i="19"/>
  <c r="Z23" i="19"/>
  <c r="AL43" i="19"/>
  <c r="AF13" i="19"/>
  <c r="AL23" i="19"/>
  <c r="N13" i="19"/>
  <c r="T33" i="19"/>
  <c r="AL53" i="19"/>
  <c r="N23" i="19"/>
  <c r="N53" i="19"/>
  <c r="AF33" i="19"/>
  <c r="N33" i="19"/>
  <c r="T53" i="19"/>
  <c r="AL33" i="19"/>
  <c r="T13" i="19"/>
  <c r="Z33" i="19"/>
  <c r="Z47" i="19"/>
  <c r="T7" i="19"/>
  <c r="AL37" i="19"/>
  <c r="T17" i="19"/>
  <c r="Z17" i="19"/>
  <c r="AF7" i="19"/>
  <c r="AF37" i="19"/>
  <c r="N17" i="19"/>
  <c r="AF27" i="19"/>
  <c r="AF47" i="19"/>
  <c r="AL47" i="19"/>
  <c r="T27" i="19"/>
  <c r="Z37" i="19"/>
  <c r="T37" i="19"/>
  <c r="N37" i="19"/>
  <c r="N47" i="19"/>
  <c r="Z27" i="19"/>
  <c r="AL7" i="19"/>
  <c r="AL17" i="19"/>
  <c r="AF17" i="19"/>
  <c r="AL27" i="19"/>
  <c r="N27" i="19"/>
  <c r="N7" i="19"/>
  <c r="Z7" i="19"/>
  <c r="T47" i="19"/>
  <c r="O20" i="19"/>
  <c r="AM40" i="19"/>
  <c r="O30" i="19"/>
  <c r="AM50" i="19"/>
  <c r="AA50" i="19"/>
  <c r="AM30" i="19"/>
  <c r="AM10" i="19"/>
  <c r="AM20" i="19"/>
  <c r="O50" i="19"/>
  <c r="U30" i="19"/>
  <c r="AA10" i="19"/>
  <c r="U40" i="19"/>
  <c r="O40" i="19"/>
  <c r="U20" i="19"/>
  <c r="AG40" i="19"/>
  <c r="AG50" i="19"/>
  <c r="U50" i="19"/>
  <c r="AA30" i="19"/>
  <c r="AG10" i="19"/>
  <c r="AA40" i="19"/>
  <c r="AG20" i="19"/>
  <c r="AA20" i="19"/>
  <c r="U10" i="19"/>
  <c r="AG30" i="19"/>
  <c r="O10" i="19"/>
  <c r="AG37" i="19"/>
  <c r="AG47" i="19"/>
  <c r="U7" i="19"/>
  <c r="AM47" i="19"/>
  <c r="U27" i="19"/>
  <c r="O37" i="19"/>
  <c r="O17" i="19"/>
  <c r="AA7" i="19"/>
  <c r="AA47" i="19"/>
  <c r="O27" i="19"/>
  <c r="U37" i="19"/>
  <c r="AM17" i="19"/>
  <c r="AM37" i="19"/>
  <c r="AG27" i="19"/>
  <c r="AM7" i="19"/>
  <c r="AG7" i="19"/>
  <c r="AA17" i="19"/>
  <c r="O7" i="19"/>
  <c r="AA37" i="19"/>
  <c r="AA27" i="19"/>
  <c r="AM27" i="19"/>
  <c r="U17" i="19"/>
  <c r="U47" i="19"/>
  <c r="AG17" i="19"/>
  <c r="O47" i="19"/>
  <c r="Z40" i="19"/>
  <c r="T10" i="19"/>
  <c r="AF10" i="19"/>
  <c r="T20" i="19"/>
  <c r="N30" i="19"/>
  <c r="Z20" i="19"/>
  <c r="AF50" i="19"/>
  <c r="T50" i="19"/>
  <c r="AL30" i="19"/>
  <c r="T40" i="19"/>
  <c r="AF40" i="19"/>
  <c r="AF30" i="19"/>
  <c r="N50" i="19"/>
  <c r="AL40" i="19"/>
  <c r="AL20" i="19"/>
  <c r="Z10" i="19"/>
  <c r="AF20" i="19"/>
  <c r="N10" i="19"/>
  <c r="Z50" i="19"/>
  <c r="AL50" i="19"/>
  <c r="N40" i="19"/>
  <c r="T30" i="19"/>
  <c r="Z30" i="19"/>
  <c r="AL10" i="19"/>
  <c r="N20" i="19"/>
  <c r="L16" i="18" l="1"/>
  <c r="Z16" i="18"/>
  <c r="J42" i="18"/>
  <c r="P34" i="18"/>
  <c r="AB18" i="18"/>
  <c r="AB42" i="18"/>
  <c r="AH34" i="18"/>
  <c r="P10" i="18"/>
  <c r="V34" i="18"/>
  <c r="P42" i="18"/>
  <c r="V42" i="18"/>
  <c r="AH42" i="18"/>
  <c r="AB26" i="18"/>
  <c r="AH26" i="18"/>
  <c r="V26" i="18"/>
  <c r="AB34" i="18"/>
  <c r="V10" i="18"/>
  <c r="AH18" i="18"/>
  <c r="J34" i="18"/>
  <c r="J10" i="18"/>
  <c r="AB10" i="18"/>
  <c r="J18" i="18"/>
  <c r="P26" i="18"/>
  <c r="J26" i="18"/>
  <c r="AH10" i="18"/>
  <c r="P18" i="18"/>
  <c r="V18" i="18"/>
  <c r="X42" i="18"/>
  <c r="AD34" i="18"/>
  <c r="AD10" i="18"/>
  <c r="AD26" i="18"/>
  <c r="L10" i="18"/>
  <c r="L42" i="18"/>
  <c r="L26" i="18"/>
  <c r="X18" i="18"/>
  <c r="X34" i="18"/>
  <c r="X10" i="18"/>
  <c r="R18" i="18"/>
  <c r="AJ10" i="18"/>
  <c r="AD42" i="18"/>
  <c r="AJ34" i="18"/>
  <c r="R26" i="18"/>
  <c r="L18" i="18"/>
  <c r="AJ26" i="18"/>
  <c r="AD18" i="18"/>
  <c r="R34" i="18"/>
  <c r="L34" i="18"/>
  <c r="AJ42" i="18"/>
  <c r="R10" i="18"/>
  <c r="R42" i="18"/>
  <c r="X26" i="18"/>
  <c r="AJ18" i="18"/>
  <c r="AL38" i="18"/>
  <c r="N14" i="18"/>
  <c r="Z6" i="18"/>
  <c r="N22" i="18"/>
  <c r="AF22" i="18"/>
  <c r="AF6" i="18"/>
  <c r="AL30" i="18"/>
  <c r="AL22" i="18"/>
  <c r="AF30" i="18"/>
  <c r="Z22" i="18"/>
  <c r="T30" i="18"/>
  <c r="Z30" i="18"/>
  <c r="AL6" i="18"/>
  <c r="Z14" i="18"/>
  <c r="Z38" i="18"/>
  <c r="J40" i="18"/>
  <c r="AB24" i="18"/>
  <c r="J16" i="18"/>
  <c r="P32" i="18"/>
  <c r="P40" i="18"/>
  <c r="AH16" i="18"/>
  <c r="V8" i="18"/>
  <c r="AH24" i="18"/>
  <c r="AH8" i="18"/>
  <c r="AH40" i="18"/>
  <c r="J8" i="18"/>
  <c r="AB32" i="18"/>
  <c r="J24" i="18"/>
  <c r="J32" i="18"/>
  <c r="P8" i="18"/>
  <c r="Z42" i="18"/>
  <c r="T18" i="18"/>
  <c r="AF34" i="18"/>
  <c r="AF42" i="18"/>
  <c r="N42" i="18"/>
  <c r="Z18" i="18"/>
  <c r="AL10" i="18"/>
  <c r="AL26" i="18"/>
  <c r="AF26" i="18"/>
  <c r="Z10" i="18"/>
  <c r="N18" i="18"/>
  <c r="T26" i="18"/>
  <c r="AF10" i="18"/>
  <c r="T34" i="18"/>
  <c r="N26" i="18"/>
  <c r="AL18" i="18"/>
  <c r="N10" i="18"/>
  <c r="AF18" i="18"/>
  <c r="Z26" i="18"/>
  <c r="AL34" i="18"/>
  <c r="Z34" i="18"/>
  <c r="T10" i="18"/>
  <c r="AL42" i="18"/>
  <c r="N34" i="18"/>
  <c r="T42" i="18"/>
  <c r="P14" i="18"/>
  <c r="V22" i="18"/>
  <c r="V14" i="18"/>
  <c r="P22" i="18"/>
  <c r="V38" i="18"/>
  <c r="AH14" i="18"/>
  <c r="AH38" i="18"/>
  <c r="J14" i="18"/>
  <c r="AB22" i="18"/>
  <c r="V30" i="18"/>
  <c r="AB14" i="18"/>
  <c r="AB38" i="18"/>
  <c r="J30" i="18"/>
  <c r="P38" i="18"/>
  <c r="AB6" i="18"/>
  <c r="AH30" i="18"/>
  <c r="J38" i="18"/>
  <c r="AH6" i="18"/>
  <c r="V6" i="18"/>
  <c r="AB30" i="18"/>
  <c r="J22" i="18"/>
  <c r="J6" i="18"/>
  <c r="P30" i="18"/>
  <c r="AH22" i="18"/>
  <c r="P6" i="18"/>
  <c r="AH12" i="18"/>
  <c r="J20" i="18"/>
  <c r="J44" i="18"/>
  <c r="AB28" i="18"/>
  <c r="P28" i="18"/>
  <c r="P12" i="18"/>
  <c r="AH20" i="18"/>
  <c r="P44" i="18"/>
  <c r="AB12" i="18"/>
  <c r="P20" i="18"/>
  <c r="J36" i="18"/>
  <c r="P36" i="18"/>
  <c r="AB44" i="18"/>
  <c r="V44" i="18"/>
  <c r="J28" i="18"/>
  <c r="AH36" i="18"/>
  <c r="V12" i="18"/>
  <c r="V28" i="18"/>
  <c r="AH44" i="18"/>
  <c r="AB20" i="18"/>
  <c r="AB36" i="18"/>
  <c r="AH28" i="18"/>
  <c r="V36" i="18"/>
  <c r="V20" i="18"/>
  <c r="J12" i="18"/>
  <c r="AL8" i="18"/>
  <c r="AF8" i="18"/>
  <c r="T8" i="18"/>
  <c r="N24" i="18"/>
  <c r="T32" i="18"/>
  <c r="T16" i="18"/>
  <c r="P16" i="18" l="1"/>
  <c r="P24" i="18"/>
  <c r="V24" i="18"/>
  <c r="AF14" i="18"/>
  <c r="T14" i="18"/>
  <c r="T6" i="18"/>
  <c r="N30" i="18"/>
  <c r="N38" i="18"/>
  <c r="T38" i="18"/>
  <c r="AH32" i="18"/>
  <c r="AB16" i="18"/>
  <c r="AB40" i="18"/>
  <c r="V32" i="18"/>
  <c r="V16" i="18"/>
  <c r="AB8" i="18"/>
  <c r="V40" i="18"/>
  <c r="AF38" i="18"/>
  <c r="N6" i="18"/>
  <c r="R16" i="18"/>
  <c r="AJ40" i="18"/>
  <c r="X8" i="18"/>
  <c r="L32" i="18"/>
  <c r="X40" i="18"/>
  <c r="AD24" i="18"/>
  <c r="L38" i="18"/>
  <c r="AJ16" i="18"/>
  <c r="R32" i="18"/>
  <c r="AJ6" i="18"/>
  <c r="AD16" i="18"/>
  <c r="L14" i="18"/>
  <c r="AD40" i="18"/>
  <c r="AJ24" i="18"/>
  <c r="R24" i="18"/>
  <c r="X16" i="18"/>
  <c r="L40" i="18"/>
  <c r="R40" i="18"/>
  <c r="AJ22" i="18"/>
  <c r="AJ8" i="18"/>
  <c r="AJ38" i="18"/>
  <c r="AD8" i="18"/>
  <c r="AD6" i="18"/>
  <c r="X32" i="18"/>
  <c r="AJ32" i="18"/>
  <c r="AJ14" i="18"/>
  <c r="R38" i="18"/>
  <c r="L24" i="18"/>
  <c r="R8" i="18"/>
  <c r="L30" i="18"/>
  <c r="X14" i="18"/>
  <c r="R6" i="18"/>
  <c r="AD14" i="18"/>
  <c r="X38" i="18"/>
  <c r="AD38" i="18"/>
  <c r="L22" i="18"/>
  <c r="X22" i="18"/>
  <c r="AL14" i="18"/>
  <c r="T22" i="18"/>
  <c r="X30" i="18"/>
  <c r="L6" i="18"/>
  <c r="AJ30" i="18"/>
  <c r="X6" i="18"/>
  <c r="N8" i="18"/>
  <c r="Z40" i="18"/>
  <c r="AL40" i="18"/>
  <c r="AD22" i="18"/>
  <c r="T40" i="18"/>
  <c r="AL16" i="18"/>
  <c r="N16" i="18"/>
  <c r="AF32" i="18"/>
  <c r="Z8" i="18"/>
  <c r="Z24" i="18"/>
  <c r="N32" i="18"/>
  <c r="AF24" i="18"/>
  <c r="L8" i="18"/>
  <c r="AD30" i="18"/>
  <c r="R30" i="18"/>
  <c r="Z32" i="18"/>
  <c r="AL24" i="18"/>
  <c r="AF16" i="18"/>
  <c r="T24" i="18"/>
  <c r="N40" i="18"/>
  <c r="AL32" i="18"/>
  <c r="AF40" i="18"/>
  <c r="AD32" i="18"/>
  <c r="X24" i="18"/>
  <c r="R14" i="18"/>
  <c r="R22" i="18"/>
  <c r="P16" i="19"/>
  <c r="P6" i="19"/>
  <c r="AH6" i="19"/>
  <c r="V46" i="19"/>
  <c r="AH46" i="19"/>
  <c r="AB46" i="19"/>
  <c r="J6" i="19"/>
  <c r="P46" i="19"/>
  <c r="AB26" i="19"/>
  <c r="AB16" i="19"/>
  <c r="AH26" i="19"/>
  <c r="J16" i="19"/>
  <c r="V26" i="19"/>
  <c r="AH36" i="19"/>
  <c r="P26" i="19"/>
  <c r="V16" i="19"/>
  <c r="V36" i="19"/>
  <c r="AH16" i="19"/>
  <c r="V6" i="19"/>
  <c r="AB36" i="19"/>
  <c r="AB6" i="19"/>
  <c r="P36" i="19"/>
  <c r="J36" i="19"/>
  <c r="J26" i="19"/>
  <c r="J46" i="19"/>
  <c r="V25" i="19"/>
  <c r="V45" i="19"/>
  <c r="J15" i="19"/>
  <c r="AB45" i="19"/>
  <c r="AH25" i="19"/>
  <c r="AH55" i="19"/>
  <c r="AB15" i="19"/>
  <c r="P15" i="19"/>
  <c r="P45" i="19"/>
  <c r="V15" i="19"/>
  <c r="J35" i="19"/>
  <c r="AH45" i="19"/>
  <c r="J25" i="19"/>
  <c r="AB35" i="19"/>
  <c r="AH15" i="19"/>
  <c r="V35" i="19"/>
  <c r="J55" i="19"/>
  <c r="AB55" i="19"/>
  <c r="AB25" i="19"/>
  <c r="AH35" i="19"/>
  <c r="P55" i="19"/>
  <c r="J45" i="19"/>
  <c r="P25" i="19"/>
  <c r="P35" i="19"/>
  <c r="V55" i="1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<sst xmlns="http://schemas.openxmlformats.org/spreadsheetml/2006/main" count="1348" uniqueCount="490">
  <si>
    <t>Proceso</t>
  </si>
  <si>
    <t>Descripción del Riesgo</t>
  </si>
  <si>
    <t>Efecto</t>
  </si>
  <si>
    <t>Zona de Riesgo Inherente</t>
  </si>
  <si>
    <t>No. Control</t>
  </si>
  <si>
    <t>Descripción del Control</t>
  </si>
  <si>
    <t>Afectación</t>
  </si>
  <si>
    <t>Tratamiento</t>
  </si>
  <si>
    <t>Responsable</t>
  </si>
  <si>
    <t>Seguimiento</t>
  </si>
  <si>
    <t>Estado</t>
  </si>
  <si>
    <t>Fecha de identificación</t>
  </si>
  <si>
    <t>Análisis</t>
  </si>
  <si>
    <t>Valoración</t>
  </si>
  <si>
    <t>Identificación del riesgo</t>
  </si>
  <si>
    <t>Análisis del riesgo inherente</t>
  </si>
  <si>
    <t>Evaluación del riesgo - Valoración de los controles</t>
  </si>
  <si>
    <t>Evaluación del riesgo - Nivel del riesgo residual</t>
  </si>
  <si>
    <t>Tratamiento (Plan de Acción)</t>
  </si>
  <si>
    <t>Monitoreo</t>
  </si>
  <si>
    <t xml:space="preserve">Causa </t>
  </si>
  <si>
    <t>Criterios  probabilidad</t>
  </si>
  <si>
    <t>Probabilidad Inherente</t>
  </si>
  <si>
    <t>%</t>
  </si>
  <si>
    <t>Criterios de impacto</t>
  </si>
  <si>
    <t>Observación de criterio</t>
  </si>
  <si>
    <t>Impacto 
Inherente</t>
  </si>
  <si>
    <t>Atributos</t>
  </si>
  <si>
    <t>Probabilidad Residual</t>
  </si>
  <si>
    <t>Probabilidad Residual Final</t>
  </si>
  <si>
    <t>Impacto Residual Final</t>
  </si>
  <si>
    <t>Zona de Riesgo Final</t>
  </si>
  <si>
    <t>Fecha Implementación</t>
  </si>
  <si>
    <t>Fecha Seguimiento</t>
  </si>
  <si>
    <t>Tipo</t>
  </si>
  <si>
    <t>Implementación</t>
  </si>
  <si>
    <t>Calificación</t>
  </si>
  <si>
    <t>Documentación</t>
  </si>
  <si>
    <t>Frecuencia</t>
  </si>
  <si>
    <t>Evidencia</t>
  </si>
  <si>
    <t>Matriz de Calor Inherente</t>
  </si>
  <si>
    <t>Impacto</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</si>
  <si>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</si>
  <si>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</si>
  <si>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</si>
  <si>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</si>
  <si>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</si>
  <si>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</si>
  <si>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</si>
  <si>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</si>
  <si>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</si>
  <si>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</si>
  <si>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</si>
  <si>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</si>
  <si>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</si>
  <si>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</si>
  <si>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</si>
  <si>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</si>
  <si>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</si>
  <si>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</si>
  <si>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Rara vez</t>
  </si>
  <si>
    <t>No se ha presentado en los últimos 5 años</t>
  </si>
  <si>
    <t>Improbable</t>
  </si>
  <si>
    <t>Al menos 1 vez en los últimos 5 años</t>
  </si>
  <si>
    <t>Posible</t>
  </si>
  <si>
    <t>La actividad que conlleva el riesgo se ejecuta de 24 a 500 veces por año</t>
  </si>
  <si>
    <t>Probable</t>
  </si>
  <si>
    <t>Al menos 1 vez en los últimos 2 años</t>
  </si>
  <si>
    <t>Casi seguro</t>
  </si>
  <si>
    <t>Al menos 1 vez en el último año</t>
  </si>
  <si>
    <t>Tabla Criterios para definir el nivel de impacto</t>
  </si>
  <si>
    <t>Criterios para calificar el impacto</t>
  </si>
  <si>
    <t>Moderado 60%</t>
  </si>
  <si>
    <t xml:space="preserve">Responder afirmativamente de UNA a CINCO preguntas </t>
  </si>
  <si>
    <t>Mayor</t>
  </si>
  <si>
    <t>Mayor 80%</t>
  </si>
  <si>
    <t>Responder afirmativamente de SEIS a ONCE</t>
  </si>
  <si>
    <t>No</t>
  </si>
  <si>
    <t>PREGUNTA: SI EL RIESGO DE CORRUPCION SE MATERIALIZA PODRÍA…</t>
  </si>
  <si>
    <t>RESPUESTA</t>
  </si>
  <si>
    <t>Catastrófico</t>
  </si>
  <si>
    <t>Catastrófico 100%</t>
  </si>
  <si>
    <t xml:space="preserve">Responder afirmativamente de DOCE a DIECINUEVE </t>
  </si>
  <si>
    <t xml:space="preserve">SI </t>
  </si>
  <si>
    <t>NO</t>
  </si>
  <si>
    <t>¿Afectar al grupo de funcionarios del proceso?</t>
  </si>
  <si>
    <t>¿Afectar el cumplimiento de metas y objetivos de la dependencia?</t>
  </si>
  <si>
    <t>Afectación_Económica_o_presupuestal</t>
  </si>
  <si>
    <t xml:space="preserve">     Afectación menor a 10 SMLMV .</t>
  </si>
  <si>
    <t xml:space="preserve">     El riesgo afecta la imagen de alguna área de la organización</t>
  </si>
  <si>
    <t>¿Afectar el cumplimiento de misión de la entidad?</t>
  </si>
  <si>
    <t>Pérdida_Reputacional</t>
  </si>
  <si>
    <t xml:space="preserve">     Entre 10 y 50 SMLMV </t>
  </si>
  <si>
    <t xml:space="preserve">     El riesgo afecta la imagen de la entidad internamente, de conocimiento general, nivel interno, de junta dircetiva y accionistas y/o de provedores</t>
  </si>
  <si>
    <t>¿Afectar el cumplimiento de la misión del sector del que pertenece la entidad?</t>
  </si>
  <si>
    <t xml:space="preserve">     Entre 50 y 100 SMLMV </t>
  </si>
  <si>
    <t xml:space="preserve">     El riesgo afecta la imagen de la entidad con algunos usuarios de relevancia frente al logro de los objetivos</t>
  </si>
  <si>
    <t>¿Generar pérdida de confianza de la entidad, afectando su reputación?</t>
  </si>
  <si>
    <t xml:space="preserve">     Entre 100 y 500 SMLMV </t>
  </si>
  <si>
    <t xml:space="preserve">     El riesgo afecta la imagen de de la entidad con efecto publicitario sostenido a nivel de sector administrativo, nivel departamental o municipal</t>
  </si>
  <si>
    <t>¿Generar pérdida de recursos económicos?</t>
  </si>
  <si>
    <t xml:space="preserve">     Mayor a 500 SMLMV </t>
  </si>
  <si>
    <t xml:space="preserve">     El riesgo afecta la imagen de la entidad a nivel nacional, con efecto publicitarios sostenible a nivel país</t>
  </si>
  <si>
    <t>¿Afectar la generación de los productos o la prestación de los servicios?</t>
  </si>
  <si>
    <t>¿Dar lugar al detrimento de calidad de vida de la comunidad por pérdida del bien, servicios o recursos públicos?</t>
  </si>
  <si>
    <t>¿Generar pérdida de la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</si>
  <si>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</si>
  <si>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</si>
  <si>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</si>
  <si>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</si>
  <si>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</si>
  <si>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</si>
  <si>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pérdidas de vidas humanas?</t>
  </si>
  <si>
    <t>¿Afectar imagen regional?</t>
  </si>
  <si>
    <t>¿Afectar la imagen nacional?</t>
  </si>
  <si>
    <t>¿Generar daño ambiental?</t>
  </si>
  <si>
    <r>
      <t xml:space="preserve">Responder afirmativamente de </t>
    </r>
    <r>
      <rPr>
        <b/>
        <sz val="26"/>
        <color theme="1"/>
        <rFont val="Arial"/>
        <family val="2"/>
      </rPr>
      <t>UNA a CINCO</t>
    </r>
    <r>
      <rPr>
        <sz val="26"/>
        <color theme="1"/>
        <rFont val="Arial"/>
        <family val="2"/>
      </rPr>
      <t xml:space="preserve"> preguntas genera un </t>
    </r>
    <r>
      <rPr>
        <b/>
        <sz val="26"/>
        <color theme="1"/>
        <rFont val="Arial"/>
        <family val="2"/>
      </rPr>
      <t>impacto moderado.</t>
    </r>
  </si>
  <si>
    <r>
      <t xml:space="preserve">Responder afirmativamente de </t>
    </r>
    <r>
      <rPr>
        <b/>
        <sz val="26"/>
        <color theme="1"/>
        <rFont val="Arial"/>
        <family val="2"/>
      </rPr>
      <t>SEIS a ONCE</t>
    </r>
    <r>
      <rPr>
        <sz val="26"/>
        <color theme="1"/>
        <rFont val="Arial"/>
        <family val="2"/>
      </rPr>
      <t xml:space="preserve"> preguntas generan un </t>
    </r>
    <r>
      <rPr>
        <b/>
        <sz val="26"/>
        <color theme="1"/>
        <rFont val="Arial"/>
        <family val="2"/>
      </rPr>
      <t>impacto mayor.</t>
    </r>
  </si>
  <si>
    <r>
      <t xml:space="preserve">Responder afirmativamente de </t>
    </r>
    <r>
      <rPr>
        <b/>
        <sz val="26"/>
        <color theme="1"/>
        <rFont val="Arial"/>
        <family val="2"/>
      </rPr>
      <t>DOCE a DIECINUEVE</t>
    </r>
    <r>
      <rPr>
        <sz val="26"/>
        <color theme="1"/>
        <rFont val="Arial"/>
        <family val="2"/>
      </rPr>
      <t xml:space="preserve"> preguntas genera </t>
    </r>
    <r>
      <rPr>
        <b/>
        <sz val="26"/>
        <color theme="1"/>
        <rFont val="Arial"/>
        <family val="2"/>
      </rPr>
      <t>un impacto catastrófico.</t>
    </r>
  </si>
  <si>
    <r>
      <t>Importante:</t>
    </r>
    <r>
      <rPr>
        <sz val="26"/>
        <color theme="1"/>
        <rFont val="Arial"/>
        <family val="2"/>
      </rPr>
      <t xml:space="preserve"> Si la respuesta a la pregunta 16 es afirmativa, el riesgo se considera catastrófico. Por cada riesgo de corrupción identificado, se debe diligenciar una tabla de estas.</t>
    </r>
  </si>
  <si>
    <r>
      <t>MODERADO:</t>
    </r>
    <r>
      <rPr>
        <sz val="26"/>
        <color theme="1"/>
        <rFont val="Arial"/>
        <family val="2"/>
      </rPr>
      <t xml:space="preserve"> Genera medianas consecuencias sobre la entidad.</t>
    </r>
  </si>
  <si>
    <r>
      <t xml:space="preserve">MAYOR: </t>
    </r>
    <r>
      <rPr>
        <sz val="26"/>
        <color theme="1"/>
        <rFont val="Arial"/>
        <family val="2"/>
      </rPr>
      <t>Genera altas consecuencias sobre la entidad.</t>
    </r>
  </si>
  <si>
    <r>
      <t>CATASTRÓFICO:</t>
    </r>
    <r>
      <rPr>
        <sz val="26"/>
        <color theme="1"/>
        <rFont val="Arial"/>
        <family val="2"/>
      </rPr>
      <t xml:space="preserve"> Genera consecuencias desastrosas para la entidad.</t>
    </r>
  </si>
  <si>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</si>
  <si>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</si>
  <si>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</si>
  <si>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</si>
  <si>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</si>
  <si>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</si>
  <si>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</si>
  <si>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</si>
  <si>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</si>
  <si>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</si>
  <si>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</si>
  <si>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</si>
  <si>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</si>
  <si>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</si>
  <si>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</si>
  <si>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</si>
  <si>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</si>
  <si>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</si>
  <si>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</si>
  <si>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</si>
  <si>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</si>
  <si>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</si>
  <si>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</si>
  <si>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</si>
  <si>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</si>
  <si>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</si>
  <si>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</si>
  <si>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</si>
  <si>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</si>
  <si>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</si>
  <si>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</si>
  <si>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theme="9" tint="-0.249977111117893"/>
        <rFont val="Arial"/>
        <family val="2"/>
      </rPr>
      <t>*</t>
    </r>
    <r>
      <rPr>
        <b/>
        <sz val="12"/>
        <rFont val="Arial"/>
        <family val="2"/>
      </rPr>
      <t>Atributos de</t>
    </r>
    <r>
      <rPr>
        <b/>
        <sz val="12"/>
        <color theme="9" tint="-0.249977111117893"/>
        <rFont val="Arial"/>
        <family val="2"/>
      </rPr>
      <t xml:space="preserve"> </t>
    </r>
    <r>
      <rPr>
        <b/>
        <sz val="12"/>
        <color rgb="FF000000"/>
        <rFont val="Arial"/>
        <family val="2"/>
      </rPr>
      <t>Formalización</t>
    </r>
  </si>
  <si>
    <t>Documentado</t>
  </si>
  <si>
    <t>Controles que están documentados en el proceso, ya sea en manuales, procedimientos, flujogramas o cualquier otro documento propio del proceso.</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</si>
  <si>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</si>
  <si>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</si>
  <si>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</si>
  <si>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</si>
  <si>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</si>
  <si>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</si>
  <si>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</si>
  <si>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</si>
  <si>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</si>
  <si>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</si>
  <si>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rFont val="Arial"/>
        <family val="2"/>
      </rPr>
      <t>*Nota 1:</t>
    </r>
    <r>
      <rPr>
        <sz val="12"/>
        <rFont val="Arial"/>
        <family val="2"/>
      </rPr>
      <t xml:space="preserve"> Los atributos de formalización se recogerán de manera informativa, con el fin de conocer el entorno del control y complementar el análisis con elementos cualitativos; éstos no tienen una incidencia directa en su efectividad. </t>
    </r>
  </si>
  <si>
    <t>Económico</t>
  </si>
  <si>
    <t>Evitar</t>
  </si>
  <si>
    <t>Reputacional</t>
  </si>
  <si>
    <t>Reducir (compartir)</t>
  </si>
  <si>
    <t>Económico y Reputacional</t>
  </si>
  <si>
    <t>Reducir (mitigar)</t>
  </si>
  <si>
    <t>Plan de accion (solo para la opción reducir)</t>
  </si>
  <si>
    <t>Finalizado</t>
  </si>
  <si>
    <t>En curso</t>
  </si>
  <si>
    <t>Daños Activos Fisicos</t>
  </si>
  <si>
    <t>Ejecucion y Administracion de procesos</t>
  </si>
  <si>
    <t>Fallas Tecnologicas</t>
  </si>
  <si>
    <t>Fraude Externo</t>
  </si>
  <si>
    <t>Fraude Interno</t>
  </si>
  <si>
    <t>Relaciones Laborales</t>
  </si>
  <si>
    <t>Usuarios, productos y practicas , organizacionales</t>
  </si>
  <si>
    <t>Procesos</t>
  </si>
  <si>
    <t xml:space="preserve">Criterios para definir el nivel de probabilidad </t>
  </si>
  <si>
    <t>Direccionamiento Estratégico</t>
  </si>
  <si>
    <t>Gestión de Talento Humano</t>
  </si>
  <si>
    <t>Más de 1 vez al año</t>
  </si>
  <si>
    <t>Criterios para definir probabilidad</t>
  </si>
  <si>
    <t>Gestión Financiera</t>
  </si>
  <si>
    <t>Registro Sustancial</t>
  </si>
  <si>
    <t>Gestión Jurídica</t>
  </si>
  <si>
    <t>Registro Material</t>
  </si>
  <si>
    <t>Gestión Contractual</t>
  </si>
  <si>
    <t>Sin registro</t>
  </si>
  <si>
    <t>Reducir</t>
  </si>
  <si>
    <t>Aceptar</t>
  </si>
  <si>
    <t>Tecnologías de la Información</t>
  </si>
  <si>
    <t>Relacionamiento Estratégico y Alianzas Público - Populares</t>
  </si>
  <si>
    <t>Comunicación Estratégica y Atención a las Ciudadanías</t>
  </si>
  <si>
    <t>Gestión Administrativa</t>
  </si>
  <si>
    <t>Mantenimiento y Soporte de Aplicaciones</t>
  </si>
  <si>
    <t>Gestión del Cumplimiento</t>
  </si>
  <si>
    <t>Seguimiento y Evaluación Organizacional</t>
  </si>
  <si>
    <t>Recepción y Registro</t>
  </si>
  <si>
    <t>Diagnóstico y Alistamiento</t>
  </si>
  <si>
    <t>Gestión del Portafolio de Sociedades</t>
  </si>
  <si>
    <t>Disposición temporal de activos no sociales</t>
  </si>
  <si>
    <t>Disposición o democratización de activos</t>
  </si>
  <si>
    <t>Código Riesgo</t>
  </si>
  <si>
    <r>
      <rPr>
        <b/>
        <sz val="11"/>
        <rFont val="Arial"/>
        <family val="2"/>
      </rPr>
      <t xml:space="preserve">*Nota: </t>
    </r>
    <r>
      <rPr>
        <sz val="11"/>
        <rFont val="Arial"/>
        <family val="2"/>
      </rPr>
      <t>La columna Código Riesgo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de Integridad, Anticorrupción y Cumplimiento.</t>
    </r>
  </si>
  <si>
    <t>Gestión Documental</t>
  </si>
  <si>
    <t>Dado que permiten reducir el impacto de la materialización del riesgo, tienen un costo en su implementación.</t>
  </si>
  <si>
    <t>Sin iniciar</t>
  </si>
  <si>
    <t>x</t>
  </si>
  <si>
    <t>RC-DE-1</t>
  </si>
  <si>
    <t>Posibilidad de recibir o solicitar cualquier dadiva o beneficio propio o a nombre de un tercero con el fin de  modificar los documentos editables  obsoletos del Sistema Integrado de Gestión, sin que pase el adecuado flujo establecido para estos documentos por la Dirección de Planeación y Prospectiva.</t>
  </si>
  <si>
    <t xml:space="preserve">	
Riesgo de Corrupción</t>
  </si>
  <si>
    <t>Carencia de un sistema de información robusto y completo para la gestión de las funciones a cargo de la Dirección de Planeación y Prospectiva</t>
  </si>
  <si>
    <t>Intervención por parte de un ente de control u otro ente regulador
Afectación de la Imagen Institucional</t>
  </si>
  <si>
    <t xml:space="preserve">El profesional designado de la dirección de planeación y prospectiva cada vez que recibe la aprobación de un documento actualizado, debe convertir la versión anterior en PDF e identificarla como obsoleta para trasladarla al repositorio de documentos obsoletos controlados, con el fin de guardar trazabilidad de las versiones y cambios que se realicen a los documentos. Como evidencia queda el listado maestro de documentos obsoletos. </t>
  </si>
  <si>
    <t>Monitoreado</t>
  </si>
  <si>
    <t>El profesional designado de la dirección de planeación y prospectiva mensualmente verifica que se realicen las actividades correspondientes con los documentos obsoletos. Como evidencia queda el listado maestro con la validación respectiva.</t>
  </si>
  <si>
    <t xml:space="preserve">Revisar los permisos de accesos a la carpeta publica donde se ubican los documentos obsoletos con el fin de validar los permisos de lectura y escritura. 
</t>
  </si>
  <si>
    <t>Katherine Ariza
Profesional I</t>
  </si>
  <si>
    <t xml:space="preserve">El Líder del sistema integrado de gestión de la Dirección de Planeación y Prospectiva en caso de evidenciar modificaciones en los documentos que no cumpla con el flujo establecido por la dirección, procederá a reportar a las áreas respectivas y realiza devolución para dar cumplimiento a los lineamientos establecidos. Como evidencia queda los correos generados por el Líder.  </t>
  </si>
  <si>
    <t xml:space="preserve">Realizar la actualización del documento "guía metodológica para la actualización y mejora documental del SIG".
</t>
  </si>
  <si>
    <t>Liliana Sofia Navas
Profesional Especializado II</t>
  </si>
  <si>
    <t>RC-RR-1</t>
  </si>
  <si>
    <t>Posibilidad de recibir o solicitar cualquier dádiva o beneficio a nombre propio o de terceros, con el fin de alterar o manipular ilegalmente la información de los activos recibidos que puedan afectar su potencial de productividad</t>
  </si>
  <si>
    <t>Riesgo de Corrupción</t>
  </si>
  <si>
    <t>No verificar los datos del activo recibido con los registros fotográficos y/o soportes brindados por los entes judiciales en diligencia de recepción. 
No validar al momento del registro del activo en el sistema de información los datos generados en la diligencia de recepción y/o soportes brindados por los entes judiciales.
Delegación de diligencias de recepción de activos en pocos o los mismos colaboradores</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</si>
  <si>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</si>
  <si>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 xml:space="preserve">El funcionario delegado del Dirección de Control del inventario, cada vez que se reciba un activo, validará las condiciones del bien registrándolas  en el "Acta de Recepción y/o entrega en sitio" lo cual debe ser concordante con el registro fotográfico de los activos, adicionalmente verificará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 Como evidencia del control queda la base de subsanaciones. </t>
  </si>
  <si>
    <t xml:space="preserve">El enlace operativo de la Dirección de control del inventario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y en correo informando a la Dirección de Nivel Central. Como evidencia queda la información registrada en el informe consolidado de diligencias de secuestro. </t>
  </si>
  <si>
    <t xml:space="preserve">La Dirección de control del inventario, en caso presentarse una alteración o manipulación inadecuada de  la información de los activos recibidos, notificará a la Dirección de Talento Humano y a las demás áreas pertinentes, con el fin de iniciar los procesos disciplinarios a los que haya lugar. Como Evidencia quedará el correo de comunicación. </t>
  </si>
  <si>
    <t xml:space="preserve">Realizar actualización de los procedimientos de la dirección con el fin de incluir los controles contemplados para el riesgo. </t>
  </si>
  <si>
    <t>Dirección de control del Inventario.</t>
  </si>
  <si>
    <t>Clase</t>
  </si>
  <si>
    <t>RC-GA-1</t>
  </si>
  <si>
    <t>Posibilidad de recibir dádivas o beneficios a nombre propio o de terceros por la sustracción de bienes devolutivos de la Entidad.</t>
  </si>
  <si>
    <t>Conducta no ética de funcionario o contratista por la sustracción de bienes muebles para beneficio propio o de un tercero</t>
  </si>
  <si>
    <t>Afectación de la Imagen Institucional
Afectación de la ejecución presupuestal
Investigaciones penales, fiscales o disciplinarias
Requerimientos o sanciones por parte de un Ente de control</t>
  </si>
  <si>
    <t xml:space="preserve">El Técnico de la Dirección Administrativa que realiza que realiza el seguimiento al inventario de bienes devolutivos  con una periodicidad semestral, dejando como evidencia el formato de inventario físico, con el fin de detectar el faltante en bienes devolutivos. </t>
  </si>
  <si>
    <t xml:space="preserve">en el caso que se requiera ingreso y salida de muebles y equipos de la Sea,   la empresa de seguridad requiriera los formatos   que evidencien la autorización  pertinente  dejando como evidencia la  minuta respectiva, 
En caso de que existan desviaciones se solicitará a la empresa de seguridad las grabaciones correspondientes para verificar el responsable de la pérdida o hurto.
</t>
  </si>
  <si>
    <t xml:space="preserve">El técnico responsable de la Dirección Administrativa de manera trimestral o cuando lo considere pertinente reportara los bienes de propiedad planta y equipo  que deben ser asegurados en la póliza de Todo Riesgo Daño Material  dejando como evidencia la póliza de seguros vigente con el fin de amparar estos bienes y actualizar la información conforme a las entradas y salida de inventario. Como evidencia queda el reporte y/o la póliza.
</t>
  </si>
  <si>
    <t>El profesional de la Dirección Administrativa una vez detecte la perdida del bien devolutivo  hará efectiva los amparos de la póliza todo riesgo y tramitara la indemnización del siniestro para la reposición del bien. Como evidencia presentación del reclamo.</t>
  </si>
  <si>
    <t>Revisar y actualizar  el procedimiento de bienes Devolutivos</t>
  </si>
  <si>
    <t>Director Administrativo</t>
  </si>
  <si>
    <t>RC-GD-1</t>
  </si>
  <si>
    <t>Hurto o uso indebido de información critica y sensible de los procesos para beneficio de terceros</t>
  </si>
  <si>
    <t>Falta de seguridad en los depósitos de los archivos por la no aplicación de los lineamientos establecidos</t>
  </si>
  <si>
    <t>El guarda seguridad revisa cada vez que  se ingresa a las instalaciones las pertenencias personales  verificando que no ingresen USB, maletas, etc.,   verificando  ingresos por cámaras de vigilancia. Como evidencia queda supervisión de este contrato.</t>
  </si>
  <si>
    <t xml:space="preserve">El líder del proceso de Archivo y correspondencia asigna lokers cada vez que ingresa un funcionario a la entidad, con el objetivo de que sus pertenencias se han  guardadas y así evitar que ingresen bolsos, USB, que permitan perdida de información. </t>
  </si>
  <si>
    <t>El líder del proceso de Archivo y correspondencia  autoriza cada vez que se requiera el ingreso de un funcionario con o sin equipos de computo .</t>
  </si>
  <si>
    <t>En caso de Hurto o uso indebido de información critica y sensible de los proceso, El líder del proceso de proceso de Archivo y correspondencia notificara al Director Administrativo y talento humano. Como evidencia queda el comunicado</t>
  </si>
  <si>
    <t>Boletín informativo todo funcionario que vaya a archivo central debe enviar correo para su respectiva autorización antes del ingreso</t>
  </si>
  <si>
    <t>Paola Tarazona</t>
  </si>
  <si>
    <t>RC-GP-1</t>
  </si>
  <si>
    <t xml:space="preserve">Posibilidad de no reportar la materialización de un riesgo de corrupción, fiscal o SARLAFT a las áreas competentes con el propósito de beneficiar a un tercero </t>
  </si>
  <si>
    <t>Riesgo Corrupción</t>
  </si>
  <si>
    <t xml:space="preserve">Falta de ética profesional
Falta de control del proceso </t>
  </si>
  <si>
    <t>Investigaciones penales o disciplinarias
Pérdida de imagen reputacional y credibilidad institucional</t>
  </si>
  <si>
    <t xml:space="preserve">El delegado para gestionar el riesgo, de acuerdo con el nivel de severidad de este, realiza el monitoreo y revisión teniendo en cuenta la Política de Administración de Riesgos y la Guía de Administración de Riesgos, con el fin de evaluar si los riesgos han cambiado, se han materializado o sus controles son efectivos, al identificar algún cambio de los riesgos se debe realizar la actualización correspondiente en las matrices en las cuales queda el registro correspondiente. </t>
  </si>
  <si>
    <t>La (el) Jefe de la Oficina de Integridad, Anticorrupción y Cumplimiento designa un correo para el reporte de la información relacionada con la gestión de riesgos y en el que en caso de presentarse una materialización de riesgos es reportada por este medio. Su administración está en cabeza de todo el equipo del grupo de riesgos con el objetivo de asegurar la transparencia en la gestión de la información.</t>
  </si>
  <si>
    <t>El (la) delegado de la coordinación de riesgos en caso de evidenciar que no se informó a la Dirección de Talento Humano y la Oficina de Control Interno de la materialización de un riesgo de corrupción, de manera inmediata realiza el reporte y lleva la situación presentada al CICCI con el objetivo de que se tomen las acciones pertinentes. Como evidencias quedarían las comunicaciones enviadas y el acta del CICCI.</t>
  </si>
  <si>
    <t>Definir cronograma de capacitación en temas relacionados con la gestión del riesgo</t>
  </si>
  <si>
    <t>Rocio Alvarez</t>
  </si>
  <si>
    <t>RC-GP-2</t>
  </si>
  <si>
    <t>Posibilidad de solicitar o recibir dadivas a nombre propio o de tercero por viabilizar los conceptos y/o lineamientos emitidos en el marco de la gestión de debidas diligencias y/o la atención de denuncias</t>
  </si>
  <si>
    <t>El funcionario designado del grupo de integridad diariamente revisan el buzón de integridad@saesas.gov.co como único canal interno autorizado de recepción de denuncias al cual tienen acceso todos los integrantes del equipo de Integridad. Es importante mencionar que no se tiene comunicación directa con el ciudadano denunciante ni los involucrados</t>
  </si>
  <si>
    <t xml:space="preserve">La Jefe de Oficina OIAC cada vez que se elabora un concepto sobre denuncia realiza revisión como segundo punto de control, solicita subsanaciones, aprueba y envía al área correspondiente para su respectivo trámite. </t>
  </si>
  <si>
    <t>El funcionario designado del grupo de  SARLAFT diariamente revisan el buzón de canaletico@saesas.gov.co como único canal interno autorizado de recepción de solicitud de debidas diligencias al cual solo tiene acceso el coordinador del grupo y quien designe Es importante mencionar que no se tiene comunicación directa con los terceros solicitantes a vincularse a SAE</t>
  </si>
  <si>
    <t xml:space="preserve">El (La) Coordinador(a) del equipo de SARLAFT de la Oficina OIAC cada vez que se elabora un concepto en PDF sobre debida diligencia realiza la revisión como segundo punto de control tanto del concepto, como los soportes de resumen de análisis financiero, consulta de terceros e informe de validación que arroja la herramienta tecnológica. Solicita subsanaciones al funcionario de OIAC en caso que se requiera, aprueba y envía al área solicitante para su respectivo trámite. </t>
  </si>
  <si>
    <t>Realizar la actualización de la documentación de los procesos una vez esté aprobada las respectivas Políticas</t>
  </si>
  <si>
    <t>OIAC</t>
  </si>
  <si>
    <t>31/11/2024</t>
  </si>
  <si>
    <t>RC-GF-1</t>
  </si>
  <si>
    <t xml:space="preserve">Posibilidad de alteración de la información contenida en el archivo plano para los pagos por concepto de nómina, impuestos locales, servicios públicos y descuentos por nómina, con el fin de lograr un pago efectivo a su beneficiario final </t>
  </si>
  <si>
    <t>Falta de ética profesional
Que los archivos planos para pago sean alterados.</t>
  </si>
  <si>
    <t>Afectación en el nivel de satisfacción de usuarios internos y/o externos
Demandas
Afectación de la Imagen Institucional</t>
  </si>
  <si>
    <t xml:space="preserve">El funcionario designado de la Tesorería de la Dirección Financiera diariamente realiza que previamente se encuentre con las autorizaciones respectivas en el flujo de pagos del aplicativo financiero para ejecutar el proceso de gestión de pago. Como evidencia queda la trazabilidad en el aplicativo financiero
</t>
  </si>
  <si>
    <t xml:space="preserve">El funcionario designado por Tesorería de la Dirección Financiera diariamente descarga el archivo plano que el aplicativo financiero genera de manera automática. Este archivo contiene  la estructura y los protocolos de seguridad Asobancaria. Como evidencia queda el flujo del aplicativo financiero
</t>
  </si>
  <si>
    <t xml:space="preserve">El funcionario designado por la Tesorería de la Dirección Financiera diariamente garantiza que previo a la ejecución de los pagos se hayan efectuado mínimo  dos de tres firmas autorizadas. Adicionalmente, se usa un token de seguridad como doble factor de autenticación autorizado por la entidad financiera
</t>
  </si>
  <si>
    <t>El funcionario designado por la Tesorería de la Dirección Financiera con frecuencia diaria posterior a todas las validaciones ejecuta los pagos a las cuentas bancarias de acuerdo con la información suministrada por las áreas misionales solicitantes de pagos. Como evidencia queda la trazabilidad del flujo de pagos del aplicativo financiero y/o correos electrónicos.</t>
  </si>
  <si>
    <t xml:space="preserve">Actualización del procedimiento de Pagos </t>
  </si>
  <si>
    <t>RC-GF-2</t>
  </si>
  <si>
    <t>Posibilidad de recibir o solicitar cualquier dádiva o beneficio a nombre propio o de terceros por registrar recaudos de dineros que no han ingresado a las cuentas bancarias de SAE o FRISCO</t>
  </si>
  <si>
    <t>Favorecimiento propio y/o a un tercero en particular.
Amiguismo.
Soborno a funcionario
Concentración de autoridad.</t>
  </si>
  <si>
    <t>Pérdida de recursos/activos - Detrimento Patrimonial por recepción de menor rentabilidad
Cohecho o concusión
Investigaciones penales, fiscales o disciplinarias</t>
  </si>
  <si>
    <t xml:space="preserve">El funcionario designado por la Tesorería de la Dirección Financiera descarga diariamente desde la plataforma bancaria los archivos planos correspondientes a recaudos en su estructura Asobancaria 2011 los cuales son cargados posteriormente sin ninguna modificación al aplicativo misional. Como evidencia queda la trazabilidad de los archivos planos.
</t>
  </si>
  <si>
    <t>El funcionario designado por la Tesorería de la Dirección Financiera verifica diariamente que los recursos que ingresan a través del medio de pago PSE estén conforme a la parametrización en sistema para su registro en el aplicativo misional. En caso de presentarse alguna inconsistencia con pagos de este convenio, se informa al área misional para que escale la solicitud vía ticket a la Oficina de las Tecnologías de la Información OTI y a su vez ellos validen con los proveedores de pago el incidente tecnológico.</t>
  </si>
  <si>
    <t xml:space="preserve">La Dirección financiera revisa semestral y/o anualmente los convenios con las entidades bancarias en caso de requerirse modificaciones o novedades en las condiciones de las cuentas de recaudo convenio mediante factura con código de barras. Mediante estos códigos de barra referenciados se garantiza la correcta identificación de una proporción importante de recaudo centralizado.
</t>
  </si>
  <si>
    <t>El profesional designado de la Tesorería de la Dirección financiera, cada vez que se requiera, solicita a las áreas misionales o entidades bancarias el apoyo para la identificación de los recaudos no identificados que se reciben a través de depósitos judiciales u otros canales y de esta manera realizar la correcta aplicación del recaudo al rubro que corresponda. En caso de no ser identificado, se clasifica en una cuenta contable especial de recaudos por clasificar.</t>
  </si>
  <si>
    <t>RC-GJ-1</t>
  </si>
  <si>
    <t xml:space="preserve">Posibilidad de recibir o solicitar cualquier dádiva o beneficio a nombre propio o de terceros, con el fin de abstenerse de  informar o de poner en conocimiento presuntas conductas delictivas o antiéticas a investigar por las autoridades respectivas  </t>
  </si>
  <si>
    <t>Desconocimiento de la normatividad que exige la denuncia de las conductas delictivas
Ausencia o debilidades en los canales formales para recepción de denuncias
Temor a repercusiones en la estabilidad laboral</t>
  </si>
  <si>
    <t>1) Pérdida de imagen reputacional y credibilidad institucional
2) Implicaciones a nivel penal, disciplinario, fiscal o sancionatorio
3) Demandas de la ciudadanía
4) Continuidad de conductas  delictivas no informadas</t>
  </si>
  <si>
    <t>El Director de Asuntos Legales Misionales verifica e identifica anualmente  las necesidades de capacitación con relación a temáticas del orden legal, incluyendo la gestión de denuncias, a fin de brindar los lineamientos y herramientas necesarias para disminuir el daño antijuridico de la entidad.</t>
  </si>
  <si>
    <t>El profesional designado en la Dirección de Asuntos Legales Misionales a solicitud de la Oficina de Integridad, Anticorrupción y Cumplimiento brindará apoyo en tema jurídico para la investigación y atención de presuntos casos de corrupción que sean recibidos en canales internos y externos para tal fin</t>
  </si>
  <si>
    <t>1) Pérdida de imagen reputacional y credibilidad institucional
2) Implicaciones a nivel penal, disciplinario, fiscal o sancionatorio
3) Demandas de la ciudadanía</t>
  </si>
  <si>
    <t>RC-GTH-2</t>
  </si>
  <si>
    <t xml:space="preserve"> Posibilidad de desviación de recursos de nómina para beneficiar a un tercero </t>
  </si>
  <si>
    <t>Investigaciones penales o disciplinarias
Pérdida de recursos de la Entidad</t>
  </si>
  <si>
    <t xml:space="preserve">El profesional delegado de la Dirección de Talento Humano cada vez que realiza la parametrización de la plataforma Cactus verifica que sea acorde a las manuales establecidos. </t>
  </si>
  <si>
    <t>La plataforma Cactus cuando se va a realizar un pago de nómina valida la planta activa del personal y que a la persona no se la haya realizado un pago inconsistente.</t>
  </si>
  <si>
    <t>La plataforma Cactus cuando se va a realizar un pago de nómina genera directamente el archivo plano para subir a la plataforma del banco o entidad donde se va a realizar el pago.</t>
  </si>
  <si>
    <t>Con registro</t>
  </si>
  <si>
    <t>El profesional delegado de la Dirección de Talento Humano en caso de detectar un pago inconsistente en beneficio de un tercero inicia el proceso de devolución con el objetivo de que la entidad pueda recuperar los recursos. Como evidencia quedaría la solicitud realizada por correos.</t>
  </si>
  <si>
    <t>Realizar capacitación del componente de nómina dentro de los procesos de inducción y reinducción</t>
  </si>
  <si>
    <t>Alvaro Ignacio Diaz</t>
  </si>
  <si>
    <t>RC-GTH-3</t>
  </si>
  <si>
    <t>Posibilidad de vincular un trabajador sin someterse al procedimiento de selección con el propósito de favorecer a un familiar, amigo o algún funcionario de la empresa</t>
  </si>
  <si>
    <t>La Dirección de Talento Humano cada vez que se inicia un proceso de selección contrata a una empresa para realizar los estudios de seguridad y así asegurar la idoneidad de la información entregada.</t>
  </si>
  <si>
    <t>La Dirección de Talento Humano una vez la empresa de seguridad entrega el informe, realiza revisión de la información entregada con el objetivo de dar la aprobación para continuar con el proceso.</t>
  </si>
  <si>
    <t>El responsable de revisión de historias laborales o quien designe cada vez  que se presenta una vinculación verifica los documentos del proceso de selección y vinculación en el formato Lista de Chequeo Documentos Historia Laboral, validando si existen documentos pendientes por entregar o documentos duplicados registrándolo en el Formato Hoja de Control documentos Historia Laboral. En caso de que exista una desviación en la documentación del proceso de vinculación, se informará al profesional delegado del proceso o al profesional vinculado. Como evidencia queda el formato de historias laborales</t>
  </si>
  <si>
    <t>El profesional de vinculación o quien designe en caso de que se llegue a contratar una persona que no haya surtido todo el proceso de selección y vinculación informa a la Dirección de Talento Humano para iniciar el proceso de desvinculación. Como evidencia queda el correo enviado con la solicitud.</t>
  </si>
  <si>
    <t>Revisar  y actualizar el procedimiento de vinculación</t>
  </si>
  <si>
    <t>Luisa
Andrea</t>
  </si>
  <si>
    <t>RC-GTH-4</t>
  </si>
  <si>
    <t xml:space="preserve">Posibilidad de no reportar o sancionar una acción u omisión configurativa de un incumplimiento con el propósito de favorecer algún trabajador </t>
  </si>
  <si>
    <t>el Profesional de control interno disciplinario generara capacitación anualmente a todos los funcionarios con el objetivo de concientizar de la importada de los procesos disciplinarios y las responsabilidades derivadas. Como evidencia quedan las actas de las capacitaciones</t>
  </si>
  <si>
    <t>El Profesional de control interno disciplinario cada vez que se requiera, podrá adelantar procedimiento disciplinario de manera autónoma sin requerir de la autorización del jefe directo de la persona involucrada con el objetivo de ejercer la potestad disciplinaria y garantizar la objetividad.</t>
  </si>
  <si>
    <t>En caso de  detectarse que  un superior inmediato omitió  reportar una novedad disciplinaria, el Profesional de control interno disciplinario podrá adelantar procedimiento disciplinario de manera autónoma  con el objetivo de ejercer la potestad  disciplinaria y garantizar la objetividad.</t>
  </si>
  <si>
    <t>Revisar  y actualizar el procedimiento de control interno disciplinario.</t>
  </si>
  <si>
    <t xml:space="preserve">Edgar Puentes </t>
  </si>
  <si>
    <t>RC-SEO-1</t>
  </si>
  <si>
    <t>Posibilidad de recibir o solicitar cualquier dádiva o beneficio a nombre propio o de terceros, con el fin de manipular o direccionar información procesada o generada en el marco de la actividad de la auditoria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</si>
  <si>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</si>
  <si>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Control Interno</t>
  </si>
  <si>
    <t>Ajustar la información documentada del proceso de acuerdo con la resolución 114 y 300 de 2024 y las normas internacionales de auditoría.</t>
  </si>
  <si>
    <t>Equipo Oficina de Control Interno</t>
  </si>
  <si>
    <t>RC-TI-1</t>
  </si>
  <si>
    <t>Posibilidad de recibir o solicitar cualquier dádiva o beneficio a nombre propio o de terceros, con el fin de dar uso indebido o ilícito de información confidencial, privilegiada o reservada relativa a los procesos que adelanta la SAE, así como de sus sistemas de información</t>
  </si>
  <si>
    <t xml:space="preserve">
No se tengan delimitados los permisos de usuarios en las plataformas tecnológicas
Deficiencia en los módulos de auditoria de los sistemas de información.
Existencia de vulnerabilidades de seguridad de la información en los sistemas de información
Daños o fallas en los sistemas de información</t>
  </si>
  <si>
    <t>El Profesional Especializado III (Oficial de Seguridad) anualmente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de Planeación y Prospectiva. Como evidencia queda el instrumento de evaluación MSPI.</t>
  </si>
  <si>
    <t>El Equipo de seguridad de la información cada vez que recibe una solicitud asigna, modifica o inactiva los permisos de seguridad en los sistemas de información y/o herramientas a los perfiles de usuarios solicitados y aprobados por los lideres de procesos en la mesa de servicio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 Como evidencia queda el tablero de control de usuarios y perfiles.</t>
  </si>
  <si>
    <t>La Plataforma de seguridad de la Información diariamente genera alertas de patrones de acceso inusuales, ataques de fuerza bruta, debilidad en las características de acceso y/o comportamientos inusuales en los accesos de los usuarios a la plataforma tecnológica con el fin de evitar accesos no autorizados o fuga de información. Como evidencia queda reporte de alerta de acceso de usuarios.</t>
  </si>
  <si>
    <t>El profesional de la OTI cada vez que se recibe una solicitud de inactivación temporal o permanente de un usuario procede con la inactivación del mismo en cada sistema de información y/o herramienta al cual tiene acceso. Como evidencia queda el tablero de control y el registro en la mesa de servicios.</t>
  </si>
  <si>
    <t>El profesional de la OTI en caso de materialización del riesgo lo reportara a la OIAC y Talento Humano con el fin de adoptar las medidas correctivas y/o sancionatorias. Como evidencia queda el reporte de materialización del riesgo.</t>
  </si>
  <si>
    <t>Adquirir una herramienta de seguridad de identidad como primera línea de defensa contra delincuentes y accesos no autorizados; implementar un modulo de seguridad zero trust.</t>
  </si>
  <si>
    <t xml:space="preserve">Jefe de la OTI y el profesional delegado de seguridad de la información. </t>
  </si>
  <si>
    <t>RC-DA-1</t>
  </si>
  <si>
    <t xml:space="preserve">Posibilidad de recibir o solicitar cualquier dádiva o beneficio a nombre propio o de terceros, con el fin de alterar de manera indebida e ilícita diagnósticos de activos para direccionar los mecanismos de disposición temporal o definitiva de los bienes </t>
  </si>
  <si>
    <t>Riesgo de corrupción</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</si>
  <si>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</si>
  <si>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</si>
  <si>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r>
      <rPr>
        <b/>
        <sz val="10"/>
        <color theme="1"/>
        <rFont val="Arial"/>
        <family val="2"/>
      </rPr>
      <t xml:space="preserve"> </t>
    </r>
    <r>
      <rPr>
        <sz val="10"/>
        <color theme="1"/>
        <rFont val="Arial"/>
        <family val="2"/>
      </rPr>
      <t xml:space="preserve">El profesional delegado por la Dirección de Analítica  verifica cada vez que se solicite un alistamiento que la información registrada en los informes de diagnóstico de activos, informe de avaluó entregados por las áreas solicitante sean coherentes y tengan relación con el acta de entrega del activo , y verificara  el estado físico por medio del registro fotográfico entregado por el área , y que este acuerde con la información registrada en los sistemas de información. como evidencia de este análisis se deja documentado en el sistema Orfeo.  </t>
    </r>
  </si>
  <si>
    <t>El Director de la Dirección Analítica revisa y aprueba  el informe de diagnóstico final  realizado por los profesionales delegados encargados de realizar las viabilidades técnicas, analizando la información contenida, , dejando registro de su aprobación en los memorandos. En caso de requerirse ajustes se solicitarán por correo electrónico para su corrección. Como evidencia de la implementación del control quedan los memorandos</t>
  </si>
  <si>
    <t xml:space="preserve">Revisar y actualizar documentación del proceso </t>
  </si>
  <si>
    <t xml:space="preserve">Ancelmo Vega </t>
  </si>
  <si>
    <t>RC-DA-3</t>
  </si>
  <si>
    <t>Posibilidad de recibir o solicitar cualquier dádiva o beneficio a nombre propio o de terceros, con el fin de 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</si>
  <si>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</si>
  <si>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</si>
  <si>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 xml:space="preserve">El Director de Analítica Alistamiento y Valoración,  designa cada vez que se requiera  avalúos comerciales ,   la firma avaladora con base en la información de activos a valorar, de su capacidad   y/o la ciudad en la que se encuentra.  Como evidencia queda base control asignación avalúos comerciales, manejo interno grupo de trabajo </t>
  </si>
  <si>
    <t>22/12/20222</t>
  </si>
  <si>
    <t xml:space="preserve"> El  profesional designado de  la Dirección de Analítica asigna  cada vez  llegue  una solicitud de acuerdo a la carga laboral de los revisores, la verificación y aprobación del informe de avaluó comercial con el fin de evitar que se de favorabilidad a un tercero.  Teniendo en cuenta que los funcionarios no tienen contacto  directo con los infractores o interesados en la compra del bien inmueble. Como evidencia queda base reporte </t>
  </si>
  <si>
    <t xml:space="preserve">El profesional delegado de  la Dirección de Analítica en el caso que se evidencia una favorabilidad a un tercero o interesado en los informes de avaluó comercial se   informara a la dirección de talento humano asuntos disciplinarios y a control interno para que se tomen las medidas que se requiera. Como evidencia queda correo de traslado </t>
  </si>
  <si>
    <t xml:space="preserve">Sensibilizar  y capacitar al equipo frente a riesgos de corrupción </t>
  </si>
  <si>
    <t>RC-DA-4</t>
  </si>
  <si>
    <t>Posibilidad de recibir o solicitar cualquier dádiva o beneficio a nombre propio o de terceros, con el fin de alterar la valoración de los estimados de renta de los bienes inmuebles administrados por SAE.</t>
  </si>
  <si>
    <t>Asignación de personal no idóneo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</si>
  <si>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</si>
  <si>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El Director territorial o el Director  de Analítica Alistamiento y Valoración según atribuciones contempladas para la estimación de renta de inmuebles determinará, cada vez que requiera un estimado de renta  , mediante correo electrónico el o los funcionarios que realizarán la visita de inspección y estimado de renta verificando que sean idóneos e inscritos en el Registro Abierto de Avaluadores (RAA), para los externos cada vez que se envié estimado de renta y para los funcionarios de manera anual. Como evidencia queda formato RAA</t>
  </si>
  <si>
    <t>El Director territorial o el Director  de Analítica Alistamiento y Valoración según atribuciones contempladas para la estimación de renta de inmuebles revisará cada vez que requiera un estimado de renta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 Como evidencia de implementación del control queda correo.</t>
  </si>
  <si>
    <t xml:space="preserve">El profesional delegado en el caso que se evidencia la alteración a la valoración de los estimados de renta de los bienes inmuebles administrados por SAE informara a la dirección de talento humano asuntos disciplinarios y a control interno para que se tomen las medidas que se requiera. Como evidencia queda correo de traslado </t>
  </si>
  <si>
    <t xml:space="preserve">Actualización de la información documentada del proceso de estimados de renta </t>
  </si>
  <si>
    <t>El Director de Analítica , verifica cada vez que llegue un informe técnicos de valoración entregados por terceros tengan la información completa de acuerdo con parámetros exigibles de acuerdo con la tipología del bien dejando registro de su aprobación por correo electrónico o el aplicativo vigente según sea necesario. En caso que el informe requiera ajustes se solicitan los ajustes respectivos vía correo electrónico o el aplicativo vigente  según sea necesario. Como evidencia queda base reporte</t>
  </si>
  <si>
    <t>El profesional delegado de la Dirección de Analítica ,  cada vez que llegue un Avalúo, realizará el registro de valoración en el aplicativo vigente  verificando que la información de valoración se encuentre completa y cargando el informe técnico o avalúo respectivo. De lo contrario realizará las solicitudes de información requeridas. como evidencia queda base reporte.</t>
  </si>
  <si>
    <t xml:space="preserve">Revisar y actualizar la información documentada relacionada con la firma  avaladora </t>
  </si>
  <si>
    <t>Equipo revisor del GIT Diagnóstico y  Valoración</t>
  </si>
  <si>
    <t>RC-DA-5</t>
  </si>
  <si>
    <t xml:space="preserve">Posibilidad de recibir o solicitar cualquier dádiva o beneficio a nombre propio o de terceros, con el fin de alterar la Viabilidad Técnica de inmuebles urbanos  para favorecer la transferencia a terceros </t>
  </si>
  <si>
    <t>Activo</t>
  </si>
  <si>
    <t>El Coordinador del Git de Diagnostico y Valoración  revisa el concepto Técnico cada vez que se requiera un  activo postulado para donación con el objetivo de que no se incumpla ningún parámetro  en cuanto a los usos permitidos del bien sujeto a destinación. Como evidencia queda concepto técnico</t>
  </si>
  <si>
    <t>El Director de Analítica Alistamiento  y valoración aprueba cada vez que se requiera un  activo postulado para donación el concepto Técnico</t>
  </si>
  <si>
    <t>En caso de detectarse alguna alteración en la Viabilidad técnica se notificara a la Dirección para la democratización de activos inmuebles urbanos con el fin informar que se debe elaborar nuevo concepto sin vicios de información. Como evidencia quedaría memorando</t>
  </si>
  <si>
    <t>Revisar y actualizar la información documentada relacionada con alistamiento</t>
  </si>
  <si>
    <t>Edwin Manrique</t>
  </si>
  <si>
    <t>RC-DA-6</t>
  </si>
  <si>
    <t>Posibilidad de recibir o solicitar cualquier dádiva o beneficio a nombre propio o de terceros,  que un depositario solicite una reparación Rom  no requeridas o acorde  a la necesidad, debido a falta de revisión técnica del estado físico para cubrir la necesidad y modalidad del proceso de ejecución.</t>
  </si>
  <si>
    <t xml:space="preserve">El profesional delegado por la Dirección de Analítica Alistamiento y Valoración  cada vez que se solicite  la viabilidad Técnica de un activo para actividad ROM  verifica que el formato de solicitud cuente con toda la información básica necesaria, que sea coherente constructivamente con la solicitud y necesidad generada. Como evidencia queda base registro de aprobaciones viabilidades Técnicas </t>
  </si>
  <si>
    <t xml:space="preserve">Sensibilizaciones asociadas a proceso Rom a las Direcciones Territoriales </t>
  </si>
  <si>
    <t>Ancelmo Vega</t>
  </si>
  <si>
    <t>PROCESO GESTIÓN DE CUMPLIMIENTO
MATRIZ DE RIESGOS DE CORRUPCIÓN SOCIEDAD DE ACTIVOS ESPECIALES - SAE</t>
  </si>
  <si>
    <r>
      <t>Código: FO-GP-002
Versión: 1
Vigencia desde:</t>
    </r>
    <r>
      <rPr>
        <sz val="12"/>
        <rFont val="Arial"/>
        <family val="2"/>
      </rPr>
      <t xml:space="preserve"> 24/072024</t>
    </r>
  </si>
  <si>
    <t>Verificación Conflictos de Interés de Auditores
El Jefe de la Oficina de Control Interno cada vez que se realice un proceso de evaluación, valida que todos los auditores de la oficina no tengan conflictos de interés con los auditados y se comprometan a cumplir el código de ética en el ejercicio a realizar en cada auditoría interna. Como evidencia de la aplicación del control queda la suscripción del documento "Manifestación expresa de aceptación individual de los auditores - Código de ética de los auditores internos SAE SAS).</t>
  </si>
  <si>
    <t xml:space="preserve">Revisión de Informe de Auditoría en Mesa de Trabajo de la Oficina de Control Interno
El equipo auditor y el Jefe de la Oficina de Control Interno  cada vez que se realice un proceso de evaluación, revisa y verifica los resultados de la auditoría y las observaciones presentadas por las unidades auditables, con el fin de determinar y decidir los resultados del informe final de auditoría con base en los criterios de evaluación establecidos para la auditoría. Como evidencia de la aplicación del control quedan los informes finales de auditoria. </t>
  </si>
  <si>
    <t xml:space="preserve">Evaluación de Auditores Internos
El Jefe de la Oficina de Control Interno cada vez que se realice un proceso de evaluación, verifica que los lideres de proceso auditados realicen la evaluación de auditores internos y los resultados del mismo producto de las auditorías realizadas. En caso de encontrar alguna desviación, procede a implementar los correctivos a los que haya lugar. Como evidencia de la aplicación del control quedan los formatos de evaluación de auditores internos remitido por los lideres de las unidades auditables. </t>
  </si>
  <si>
    <t xml:space="preserve">Revisión de Plan de Auditoría
El Jefe de la Oficina de Control Interno previo a la auditoria, revisa el formato F-EC1-148 Plan de Auditoría del proceso objeto de ser auditado con el fin de verificar el cumplimiento del enfoque dado por el equipo auditor en el objetivo de la auditoría, la metodología y el alcance. En caso de identificar alguna inconformidad en el Plan de Auditoría se solicita al equipo auditor realizar los ajustes pertinentes. Como Evidencia de la aplicación del control queda el plan aprobado y la presentación del mismo a la unidad auditable. 
</t>
  </si>
  <si>
    <t>Supervisión del Trabajo de Auditoría.
El Jefe de la Oficina de Control Interno en caso de presentarse una situación de manipulación o direccionamiento de la información procesada para beneficio de un tercero, da traslado por competencia a la Dirección de Talento Humano - Asuntos Disciplinarios con el fin de que se tomen las medidas a lugar. Como evidencia quedaría la comunicación de traslado con los documentos soporte a la Dirección de Talento Humano.</t>
  </si>
  <si>
    <t>RC-GC-1</t>
  </si>
  <si>
    <t>Posibilidad de recibir o solicitar cualquier dádiva o beneficio a nombre propio o de terceros, con el fin de favorecer la  celebración de contratos de bienes y servicios.</t>
  </si>
  <si>
    <t>Evaluación subjetiva de necesidades contractuales de la entidad
No revisar la totalidad de documentación que habilite técnicamente, financieramente y jurídicamente a los potenciales contratistas a participar en el proceso de selección de proveedores
Evaluaciones incompletas o sesgadas de los potenciales contratistas</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</si>
  <si>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 de supervisión contractual
7) Detrimento Patrimonial</t>
  </si>
  <si>
    <t>En caso de evidenciarse el favorecimiento en el proceso de contratación  a cambio de dadivas, se adelantaran los procedimientos y procesos sancionatorios.</t>
  </si>
  <si>
    <t xml:space="preserve">Dirección de contratación </t>
  </si>
  <si>
    <t>RC-GC-2</t>
  </si>
  <si>
    <t>Debido a la falta de seguimiento y revisión durante el desarrollo de la fase precontractual, en el que se deben tener en cuenta la elaboración del análisis del sector, los estudios previos, el anexo técnico, así como el control de legalidad de los documentos del posible oferente o contratista para verificar su cumplimiento en experiencia e idoneidad.
Falta de control y seguimiento a la elaboración de los pliegos por parte de quienes tienen la función de realizarlo
Deficiencias en la elaboración de estudio de mercado, estudio de factibilidad manipulados por personal interesado en el futuro proceso de contratación
Complicidad de colaboradores de la ODT o proveedores para cometer actividades de fraude o corrupción
Falta de ética profesional
Adulteración o cambio de documentos presentados por terceros con complicidad interna
Falta de controles durante el desarrollo de la fase precontractual</t>
  </si>
  <si>
    <t>Intervención por parte de un ente de control u otro ente regulador
Afectación en el nivel de satisfacción de usuarios internos y/o externos
Demandas
Afectación de la Imagen Institucional
Afectación de la ejecución presupuestal
Investigaciones penales, fiscales, administrativas o disciplinarias</t>
  </si>
  <si>
    <t>En caso de evidenciarse la adjudicación sin el lleno de los requisitos en el proceso de contratación  a cambio de dadivas, se adelantaran los procedimientos y procesos sancionatorios.</t>
  </si>
  <si>
    <t>RC-GC-3</t>
  </si>
  <si>
    <t xml:space="preserve">Posibilidad de solicitar o recibir cualquier dadiva o beneficio a nombre propio o de tercero  por omitir información falsa por parte de externos que conlleven a la toma de decisiones o actuaciones con base en documentos falsos o alterados para beneficiar a terceros
</t>
  </si>
  <si>
    <t xml:space="preserve">	
Tráfico de influencias
Interés indebido en la celebración de contratos
Complicidad de funcionarios o proveedores para cometer actividades de fraude o corrupción
Falta de ética profesional
Adulteración o cambio de documentos presentados por terceros con complicidad interna
Intereses personales de terceros</t>
  </si>
  <si>
    <t>Intervención por parte de un ente de control u otro ente regulador
Pérdida de recursos/activos - Detrimento Patrimonial
Tutelas
Demandas
Afectación de la Imagen Institucional
Afectación de la ejecución presupuestal
Investigaciones penales, fiscales o disciplinarias
Pago de indemnizaciones a terceros por acciones legales
Pago de sanciones económicas por incumplimiento de la normatividad aplicable
Requerimientos o sanciones</t>
  </si>
  <si>
    <t>El profesional designado de la Dirección de Contratación trimestralmente verificará aleatoriamente los títulos académicos aportados en la etapa precontractual del 5% de los contratos de prestación de servicios con persona natural suscritos.
Como evidencia quedan las solicitudes y respuestas de verificación de las Instituciones Educativas a las cuales se les elevó la consulta.</t>
  </si>
  <si>
    <t>En caso de evidenciarse la omisión en la revisión de documentación o información falsa relacionada proceso de contratación  a cambio de dadivas, se dará aviso a las áreas encargadas de los procedimientos y procesos sancionatorios ante los entes competente.</t>
  </si>
  <si>
    <t>RC-DF-4</t>
  </si>
  <si>
    <t>Posibilidad de recibir o solicitar cualquier dádiva o beneficio a nombre propio o de terceros, con el fin de favorecer o viabilizar la venta de un activo social</t>
  </si>
  <si>
    <t xml:space="preserve">Riesgo de corrupción </t>
  </si>
  <si>
    <t>favorecer a terceros para la venta de un activo social</t>
  </si>
  <si>
    <t>1) Pérdida de imagen reputacional y credibilidad institucional
2) Implicaciones a nivel penal, disciplinario, fiscal o sancionatorio
3) Demandas de la ciudadanía
4) Dificultad administrativa, operativa y comercial para la administración de los activos
7) Altos costos operacionales de administración de activos</t>
  </si>
  <si>
    <t>El funcionario delegado de la Gerencia de Comercialización de Activos Sociales cada vez que se requiera solicitará a la Oficina de Prensa y Comunicaciones la publicación de la invitación a la subasta de venta de las sociedades. Con esto se garantiza principio de transparencia y pluralidad de oferentes. Como evidencia queda el memorando dirigido a la Oficina de Prensa y Comunicaciones</t>
  </si>
  <si>
    <t>El funcionario delegado de la Gerencia de Comercialización de Activos Sociales cada vez que se dé acceso a la información a un tercero externo deberá solicitar la suscripción del Acuerdo de Confidencialidad entre la partes</t>
  </si>
  <si>
    <t>El profesional delegado de la  Gerencia de comercialización de activos sociales de la Dirección  Comercial presentará al Comité encargado de evaluar la oferta de los potenciales compradores de la sociedad y a su vez aprueban o rechazan el negocio. Se valida y aprueba en comité, de esta manera se garantiza que la atribución no está en una persona, sino en grupo directivo.</t>
  </si>
  <si>
    <t>El funcionario delegado de la Gerencia de Comercialización de Activos Sociales cada vez que se requiera el estudio de un oferente solicitará a la Oficina de Integridad, Anticorrupción y Cumplimiento el estudio de la debida diligencia para determinar si existen inusualidades y/o descartar riesgos LAFT.</t>
  </si>
  <si>
    <t>RC-DT-1</t>
  </si>
  <si>
    <t xml:space="preserve">Posibilidad de recibir o solicitar cualquier dádiva o beneficio a nombre propio o de terceros, con el fin de favorecer a terceros para que de manera ilegal se apropien de activos del estado. </t>
  </si>
  <si>
    <t>favorecer a terceros para que de manera ilegal  se  apropien de activos del estado.</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</si>
  <si>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</si>
  <si>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El Director para la Democratización de Activos Mubles anualmente gestiona la suscripción o prorroga del contrato según corresponda de comercialización de muebles a través de la subasta martillo, los semovientes a través de subastas ganaderas y la chatarrización a través de chatarrizadoras autorizadas por el Ministerio de Transporte. Como evidencia quedan los contratos con sus respectivos soportes.</t>
  </si>
  <si>
    <t>12/22/2022</t>
  </si>
  <si>
    <t>El Director para la Democratización de Activos Mubles o quien delegue en caso de identificarse la solicitud o recepción de dádivas se reporta al jefe inmediato y a la Oficina de Control Interno. Como evidencia queda el memorando.</t>
  </si>
  <si>
    <t>RC-DF-1</t>
  </si>
  <si>
    <t>Disposición o democratización final de activos</t>
  </si>
  <si>
    <t>Posibilidad de recibir o solicitar cualquier dádiva o beneficio a nombre propio o de terceros, con el fin de enajenar de manera temprana un bien sin el cumplimiento de los requisitos exigibles.</t>
  </si>
  <si>
    <t>* Debilidades en la revisión de fichas de enajenación temprana de muebles.
.
* Valores no éticos y morales de funcionarios que realizan  o revisan las fichas técnicas de enajenación temprana</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</si>
  <si>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</si>
  <si>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El profesional delegado de la Vicepresidencia de Activos Muebles e Inmuebles como secretario del Comité cada vez que este sesiona revisa las fichas de enajenación temprana remitidas por parte de las Direcciones Territoriales, verificando la causal de enajenación temprana seleccionada, su justificación y el correcto diligenciamiento de la ficha junto con sus soportes. En caso de reportarse un bien improductivo, se revisará la base de datos de productividad con el fin de confirmar su estado. Como evidencia queda la relación de los casos discutidos en el comité.</t>
  </si>
  <si>
    <t>El delegado de la Vicepresidencia de Activos Muebles e Inmuebles o quien corresponda en caso de presentarse un proceso de enajenación temprana de un activo sin el cumplimiento de sus requisitos solicita el insumo para la realización de la revocatoria a través de un acto administrativo. Como evidencia queda el acto administrativo.</t>
  </si>
  <si>
    <t>Los funcionarios delegados por la Dirección para la democratización de activos inmuebles urbanos cada vez que sesiona el Comité Técnico de la Vicepresidencia de Activos Muebles e Inmuebles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 Como evidencia queda la relación de los casos discutidos en el comité.</t>
  </si>
  <si>
    <t>El Director para la democratización de activos inmuebles urbanos o quien corresponda en caso de presentarse un proceso de enajenación temprana de un activo sin el cumplimiento de sus requisitos solicita el insumo para la realización de la revocatoria a través de un acto administrativo. Como evidencia queda el acto administrativo.</t>
  </si>
  <si>
    <t>RC-DT-2</t>
  </si>
  <si>
    <t>Posibilidad de recibir o solicitar cualquier dádiva o beneficio a nombre propio o de terceros, con el fin de asignar un bien para su disposición o administración temporal sin el cumplimiento de los requisitos de ley y la normativa definida</t>
  </si>
  <si>
    <t>Relacionamiento personal cercano con actores institucionales que solicitan la asignación de activos bajo la modalidad de destinación provisional</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</si>
  <si>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</si>
  <si>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El Vicepresidente de Activos Muebles e Inmuebles o quien delegue, cada vez que hay una solicitud de destinación provisional, dependiendo del tipo de activo, revisa el formato de solicitud de destinación provisional de bienes y los documentos soportes, verificando que el proyecto de utilización del bien coadyuve al cumplimiento del Plan Nacional de Desarrollo y los Planes Seccionales; y que el actor evaluado no tenga registros de antecedentes judiciales.  En caso de que la Entidad no cumpla con los requisitos se le informará la no viabilidad de la solicitud o la información a subsanar para continuar con el proceso. Como evidencia de la verificación realizada queda el formato de viabilidad de destinación provisional.</t>
  </si>
  <si>
    <t>El Vicepresidente de Activos Muebles e Inmuebles o quien delegue en caso de que se asigne la administración provisional a alguien que no cumpla con los requisitos, solicita a la persona la subsanación de los pendientes para continuar con el proceso. Como evidencia queda acta o memorando interno.</t>
  </si>
  <si>
    <t>RC-DF-3</t>
  </si>
  <si>
    <t>transferir el dominio de bienes a entidades públicas a titulo de donación sin el cumplimiento de los requisitos exigidos.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</si>
  <si>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</si>
  <si>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RC-GPS-1</t>
  </si>
  <si>
    <t>Posibilidad de recibir o solicitar cualquier dádiva o beneficio a nombre propio o de terceros, con el fin de favorecer a terceros en el registro de revisores fiscales para la administración de sociedades activas y en liquidación a cargo de SAE</t>
  </si>
  <si>
    <t xml:space="preserve">
No validar de manera completa la información y soportes presentados al momento de recibir las solicitudes de registro de revisores fiscales
Delegación de evaluación de Revisores Fiscales en pocos evaluadores o en los mismos evaluadores 
Evaluaciones incompletas o sesgadas de los participantes para la inscripción del Registro de Revisores Fiscales
Relacionamiento personal o comercial de los participantes con profesionales involucrados en el proceso de evaluación de requisitos en la conformación del Registro de Revisores Fiscales
No hacer publico la información de los potenciales aspirantes a Revisores Fiscales</t>
  </si>
  <si>
    <t>1) Pérdida de imagen reputacional y credibilidad institucional
2) Implicaciones a nivel penal, disciplinario, fiscal o sancionatorio
3) Administración inadecuada de las sociedades recibidas
4) Demandas de la ciudadanía</t>
  </si>
  <si>
    <r>
      <rPr>
        <b/>
        <sz val="10"/>
        <color rgb="FF000000"/>
        <rFont val="Arial"/>
        <family val="2"/>
      </rPr>
      <t xml:space="preserve">
</t>
    </r>
    <r>
      <rPr>
        <sz val="10"/>
        <color rgb="FF000000"/>
        <rFont val="Arial"/>
        <family val="2"/>
      </rPr>
      <t>La Vicepresidencia de Sociedades cada vez que se presente una convocatoria, solicitará al área de comunicaciones la publicación del listado de los aspirantes seleccionados en la página web de la SAE por un término de tres (3) días hábiles para observaciones de la ciudadanía, verificando si existe alguna observación para remitírsela al aspirante para su respectiva respuesta a la ciudadanía. Como evidencia queda el pantallazo de la publicación.</t>
    </r>
  </si>
  <si>
    <t>Se solicitara la validación por parte de la figura según el mecanismo de administración, en el informe de gestión o acta de asamblea,  respecto a la gestión de revisor fiscal, así como el inicio de acciones legales en los casos que se requiera.</t>
  </si>
  <si>
    <t>El profesional delegado por la Vicepresidencia de Sociedades, cada vez que se presente, recibe y revisa fichas de enajenación temprana elaboradas por la Dirección de gobierno, control y democratización de Sociedades y dirección de seguimiento y control de liquidación, verificando la causal de enajenación y/o enajenación temprana, su justificación, el adecuado diligenciamiento de las fichas y todos los soportes necesarios, dejando registro del visto bueno de las mismas. En caso de desviaciones comunica las inconsistencias por correo electrónico para su subsanación. Como evidencia queda el registro de los activos.</t>
  </si>
  <si>
    <t>El Vicepresidente de Sociedades, cada vez que se presenten los bienes a enajenar de manera temprana a Comité Externo, debe verificar los requisitos establecidos por la ley 1708; en caso de presentarse inconsistencias se busca subsanar las observaciones presentadas por el comité para presentarlo nuevamente, de lo contrario se cierra el procedimiento. Como evidencia queda las actas de los comités firmadas.</t>
  </si>
  <si>
    <t>Socializar el procedimiento de enajenación temprana a los profesionales responsables por medio de reuniones.</t>
  </si>
  <si>
    <t>RC-DF-2</t>
  </si>
  <si>
    <t>Posibilidad de recibir o solicitar cualquier dádiva o beneficio a nombre propio o de terceros, con el fin de realizar entregas físicas de bienes sin el cumplimiento de los requisitos en los procesos de disposición final</t>
  </si>
  <si>
    <t>Debilidades en los controles de entrega física de activos a compradores, contratistas de disposición final, entidades públicas, o afectados</t>
  </si>
  <si>
    <t>Realizar el comparativo de las validaciones con el inventario mensual.</t>
  </si>
  <si>
    <t>El Vicepresidente de Activos Muebles e Inmuebles o quien delegue según la tipología del activo, cada vez que se realiza una entrega física de un activo, verifica  que la identificación de la persona natural o jurídica autorizada para la recepción del bien coincidida con los documentos que ordenan la entrega con base en los soportes preestablecidos (Resoluciones, contratos, actos administrativos de autorización, documento de identidad, entre otros de acuerdo con el tipo de bien). Como evidencia queda acta o documenta de salida del activo.</t>
  </si>
  <si>
    <t>El Vicepresidente de Activos Muebles e Inmuebles o quien delegue en caso de presentarse inconsistencias en el momento de entrega del activo  comunica mediante informe enviado por correo electrónico la situación para que se investigue o denuncia ante la justicia. Como evidencia queda el informe</t>
  </si>
  <si>
    <t>El funcionario delegado o quien se designe como responsable por parte de la Dirección de Contratación, cada vez que se allega una solicitud de contratación determina por orden de llegada cual es el abogado a cargo del proceso, dejando registro en una base de datos con la finalidad de evitar favorecimiento en la celebración de contratos a cambio de dadivas. 
Como evidencia trimestralmente queda matriz de seguimiento.</t>
  </si>
  <si>
    <t xml:space="preserve">Cada vez que se adelante un proceso de contratación el abogado a cargo publicará en el medio electrónico institucional la contratación en curso y un vínculo al sistema electrónico para la contratación pública o el que haga sus veces.
Como evidencia se aportará trimestralmente pantallazo del medio electrónico institucional (Página web) </t>
  </si>
  <si>
    <t>Cada vez que se adelante un proceso de contratación el abogado a cargo y el comité evaluador, darán estricto cumplimiento al  código de integridad y buen gobierno de la SAE S.A.S. (CO-DE2-1 ), con el fin de mantener la confidencialidad y reserva de la información precontractual antes de darle publicidad a través de SECOP II.</t>
  </si>
  <si>
    <t>Formalizar formato Matriz de Seguimiento</t>
  </si>
  <si>
    <t>Posibilidad de solicitar o recibir cualquier dadiva o beneficio a nombre propio o de tercero por la indebida adjudicación de los contratos favoreciendo a terceros que no cumplen con lineamientos establecidos en el manual de Compras y Adquisiciones de la entidad</t>
  </si>
  <si>
    <t xml:space="preserve">En cada proceso de convocatoria que se adelante desde la Dirección de Contratación el profesional designado solicitará a la OIAC las debidas diligencias, con el fin de validar posibles Riesgos relacionados con  LAFT. </t>
  </si>
  <si>
    <t>Actualizar lista de chequeo, relacionando en esta punto de control de la etapa precontractual</t>
  </si>
  <si>
    <t>Actualizar lista de chequeo, relacionando en esta punto de control de la etapa precontractual
Verificar si se requiere actualizar y/o crear un formato que facilite realizar esta verificación de formación académica</t>
  </si>
  <si>
    <t>Adelantar los procedimientos de denuncia a las áreas Control Disciplinario de Dirección Talento Humano, OIAC y autoridades judiciales correspondientes para que se adelanten los procesos sancionatorios si hay lugar.</t>
  </si>
  <si>
    <t>Dirección de Asuntos Legales Misionales y OIAC</t>
  </si>
  <si>
    <t>El(los) profesional(es) delegado(s) de la Vicepresidencia de Sociedades , cada vez que se realicen solicitudes de registro de revisores fiscales, validará la información básica, de cobertura, de infraestructura, financiera y la documentación soporte que garantice la idoneidad del aspirante, recibida a través del portal de la convocatoria. Como evidencia queda el  listado de recepción de solicitudes de registro.</t>
  </si>
  <si>
    <t xml:space="preserve">El Director de Gobierno, Control y Democratización de Sociedades y de la Dirección de seguimiento y control de liquidaciones, designará a los profesionales idóneos encargados de realizar la evaluación técnica, cada vez que se presente una convocatoria, según su competencia, informará vía correo electrónico a la Dirección de Contratación. La asignación de la evaluación de las solicitudes de registro se realizarán a través del aplicativo correspondiente. Como evidencia queda el correo electrónico. </t>
  </si>
  <si>
    <t>Los profesionales delegados de la Dirección Gobierno, Control y Democratización de Sociedades y de la Dirección de seguimiento y control de liquidaciones, de  como equipo evaluador, cada vez que se presenta, verifican el cumplimiento de requisitos técnicos,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 Como evidencia queda base de evaluación.</t>
  </si>
  <si>
    <t>El director de  la Dirección Gobierno, Control y Democratización de Sociedades y de la Dirección de seguimiento y control de liquidaciones cada vez que se presente, verificará a través de  empresa tercerizada las anotaciones del aspirante en bases de datos de deudores morosos del estado, antecedentes profesionales, disciplinarios y financieros  así como un análisis de estudio de seguridad con un concepto de riesgo (alto, medio, bajo) de acuerdo con los criterios definidos por la entidad. En caso de que el riesgo sea alto o medio sin subsanación de información se rechaza al aspirante en el aplicativo. Como evidencia queda reporte de resultado de Compliance.</t>
  </si>
  <si>
    <t>VP Sociedades</t>
  </si>
  <si>
    <t>El Director de la  Dirección Gobierno, Control y Democratización de Sociedades y de la Dirección de seguimiento y control de liquidaciones , cada vez que se requiera,  revisara el informe de diagnóstico inicial de intervención  e informe de gestión y el plan de acción de la sociedad y establecimientos de comercio realizado por el depositario o representante legal, analizando la información contenida, la información de la sociedad y los parámetros preestablecidos en dichos informes, dejando registro de su aprobación por correo electrónico. En caso de requerirse ajustes se solicitarán por correo electrónico para su corrección. Como evidencia queda la resolución de destinación definitiva o provisional.</t>
  </si>
  <si>
    <t>Realizar solicitud de  ajuste a procedimiento frente a los mecanismos de disposición definitiva y provisional.</t>
  </si>
  <si>
    <t>Dirección de Gobierno, Control y Democratización de Sociedades / Dirección de Seguimiento y Control a Liquidaciones</t>
  </si>
  <si>
    <t>El profesional designado de la  Dirección Gobierno, Control y Democratización de Sociedades y de la Dirección de seguimiento y control de liquidaciones, cada vez que se realiza la revisión del informe de diagnostico inicial de intervención y el plan de acción de la sociedad entregado por los depositarios provisionales, representantes legales o gerentes, analizando la información contenida, la información de la sociedad y los parámetros preestablecidos en dichos informes, dejando registro de su aprobación por correo electrónico. En caso de requerirse ajuste se solicitaran por correo electrónico para su corrección. Como evidencia queda el correo electrónico de aprobación y/o subsanación.</t>
  </si>
  <si>
    <t>Realizar un comparativo en la información reportada SIGMA 1.5 con el reporte que entrega técnica, si se presenta diferencia se notifica a la Dirección de Analítica, Alistamiento y valoración.</t>
  </si>
  <si>
    <t>Vicepresidencia de Sociedades</t>
  </si>
  <si>
    <t>El profesional delegado de la  Dirección Gobierno, Control y Democratización de Sociedades y de la Dirección de seguimiento y control de liquidaciones, según la tipología del bien, cada vez que se presenta, verifica al momento de la entrega física del bien que la identificación de la persona natural o jurídica autorizada para la recepción del bien, coincida con los documentos que ordenan la entrega con base en los soportes preestablecidos (Resoluciones, contratos, actos administrativos de autorización, documento de identidad, poder, entre otros de acuerdo con el tipo de bien). En caso de presentarse inconsistencias el funcionario delegado comunica mediante informe enviado por correo electrónico la situación para que se investigue o denuncia ante la justicia. Como evidencia queda el acta de entrega y los soportes.</t>
  </si>
  <si>
    <t xml:space="preserve">Posibilidad de recibir o solicitar cualquier dádiva o beneficio a nombre propio o de terceros, con el fin de transferir el dominio de bienes a entidades publicas a titulo de donación y/o destinación especifica sin el cumplimiento de los requisitos exigidos. </t>
  </si>
  <si>
    <t>1. Sanciones de entes de Control.
2. Investigaciones disciplinarias, penales y fiscales
3. Mala imagen institucional
4. Perdida de la memoria institucional</t>
  </si>
  <si>
    <t>El grupo de Alistamiento verifica cada vez que se requiera un  activo postulado para donación que  la parte física , ubicación, estado Jurídico y  normativo  cumpla con los parámetros en cuanto a los usos permitidos del bien sujeto a destinación a fin de emitir la Viabilidad Técnica para su Donación. Como evidencia queda concepto técnico</t>
  </si>
  <si>
    <t>En caso de que se materialice el riesgo, el profesional delegado por la Dirección de Asuntos Legales Misionales continuara con el proceso de seguimiento y recepción de documentos para la interposición y/o control de las denuncias interpuestas por las conductas presuntamente antiéticas y/o punibles.</t>
  </si>
  <si>
    <t>En cada uno de los procesos de contratación allegados a la Dirección de Contratación el abogado asignado revisará la totalidad de documentos requeridos en la etapa precontractual asegurando el cumplimiento de la normatividad vigente, que la documentación esté completa y sea pertinente conforme a la modalidad. Posteriormente, relacionará en el listado de verificación documental el punto de control realizado.
Como evidencia queda el 5% de los listados de verificación documental de los contratos suscritos trimestralmente.</t>
  </si>
  <si>
    <t>El profesional designado de la Dirección de Contratación cada vez que se inicia un proceso de contratación revisa la totalidad de documentos requeridos en la etapa precontractual asegurando el cumplimiento de la normatividad vigente, que la documentación esté completa y sea pertinente conforme a la modalidad. Posteriormente, relacionará en el listado de verificación documental el punto de control realizado.
Como evidencia queda el 5% de los listados de verificación documental de los contratos suscritos trimestralmente.</t>
  </si>
  <si>
    <t>El Director para la Democratización de Activos Mubles o quien delegue en el momento de suscribir el contrato de comercialización de muebles a través de la subasta martillo y chatarrización define que el recaudo por disposición final de activos se realice a través de canales electrónicos a través de cupón de pago a la cuenta designada por la Entidad. Como evidencia está el contrato y el cupón de pago generado.</t>
  </si>
  <si>
    <t xml:space="preserve">El profesional delegado de la Dirección para la Democratización de Activos Inmuebles Urbanos verifica cada vez que se realiza las solicitudes de destinación provisional que se presenten de manera completa conforme a la metodología de la administración del FRISCO y el procedimiento de asignación de destinatarios provisionales. Por el volumen de solicitudes se deja sin registro, mas sin embargo las evidencias que aportan se encuentra en la carpeta Publica 420-Inmuebles Urbanos. </t>
  </si>
  <si>
    <t>El profesional delegado de la Dirección para la Democratización de Activos Inmuebles Urbanos, de acuerdo con el tipo del bien, validará si el proyecto presentado por parte de la Entidad Pública es viable de acuerdo con la revisión de la solicitud efectuada por los profesionales delegados y el cumplimiento de los criterios de donación y/o destinación especifica establecidos en el procedimiento. En caso de no ser viable se informará a la entidad pública que no es posible la donación.</t>
  </si>
  <si>
    <t>El profesional designado de la Dirección Gobierno, Control y Democratización de Sociedades y de la Dirección de seguimiento y control de liquidaciones valida los documentos soportes según disposición final que se haya realizado. Control se deja sin evidencia ya que los soportes se cargan en el aplicativo dispuesto para este fin.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</si>
</sst>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family val="2"/>
      <scheme val="minor"/>
    </font>
    <font>
      <sz val="10"/>
      <color rgb="FF000000"/>
      <name val="Arial Narrow"/>
      <family val="2"/>
    </font>
    <font>
      <sz val="10"/>
      <color theme="1"/>
      <name val="Calibri"/>
      <family val="2"/>
      <scheme val="minor"/>
    </font>
    <font>
      <sz val="11"/>
      <color theme="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11"/>
      <color rgb="FF030303"/>
      <name val="Arial"/>
      <family val="2"/>
    </font>
    <font>
      <sz val="24"/>
      <name val="Arial"/>
      <family val="2"/>
    </font>
    <font>
      <sz val="24"/>
      <color theme="1"/>
      <name val="Arial Narrow"/>
      <family val="2"/>
    </font>
    <font>
      <b/>
      <sz val="24"/>
      <color rgb="FF000000"/>
      <name val="Calibri"/>
      <family val="2"/>
    </font>
    <font>
      <b/>
      <sz val="20"/>
      <color theme="1"/>
      <name val="Calibri"/>
      <family val="2"/>
      <scheme val="minor"/>
    </font>
    <font>
      <sz val="10"/>
      <name val="Arial"/>
      <family val="2"/>
    </font>
    <font>
      <sz val="12"/>
      <name val="Times New Roman"/>
      <family val="1"/>
    </font>
    <font>
      <sz val="11"/>
      <color theme="1"/>
      <name val="Arial"/>
      <family val="2"/>
    </font>
    <font>
      <sz val="11"/>
      <name val="Arial"/>
      <family val="2"/>
    </font>
    <font>
      <b/>
      <sz val="18"/>
      <color theme="0"/>
      <name val="Arial"/>
      <family val="2"/>
    </font>
    <font>
      <b/>
      <sz val="11"/>
      <color theme="1"/>
      <name val="Arial"/>
      <family val="2"/>
    </font>
    <font>
      <sz val="10"/>
      <color theme="1"/>
      <name val="Arial"/>
      <family val="2"/>
    </font>
    <font>
      <b/>
      <sz val="11"/>
      <color theme="0"/>
      <name val="Arial"/>
      <family val="2"/>
    </font>
    <font>
      <b/>
      <sz val="14"/>
      <color theme="0"/>
      <name val="Arial"/>
      <family val="2"/>
    </font>
    <font>
      <b/>
      <sz val="11"/>
      <name val="Arial"/>
      <family val="2"/>
    </font>
    <font>
      <b/>
      <sz val="26"/>
      <color theme="1"/>
      <name val="Arial"/>
      <family val="2"/>
    </font>
    <font>
      <sz val="11"/>
      <color theme="0"/>
      <name val="Arial"/>
      <family val="2"/>
    </font>
    <font>
      <sz val="26"/>
      <color rgb="FF000000"/>
      <name val="Arial"/>
      <family val="2"/>
    </font>
    <font>
      <sz val="26"/>
      <color rgb="FFFFFFFF"/>
      <name val="Arial"/>
      <family val="2"/>
    </font>
    <font>
      <sz val="16"/>
      <color rgb="FF000000"/>
      <name val="Arial"/>
      <family val="2"/>
    </font>
    <font>
      <sz val="16"/>
      <color rgb="FFFF0000"/>
      <name val="Arial"/>
      <family val="2"/>
    </font>
    <font>
      <sz val="11"/>
      <color rgb="FFFF0000"/>
      <name val="Arial"/>
      <family val="2"/>
    </font>
    <font>
      <sz val="12"/>
      <color theme="1"/>
      <name val="Arial"/>
      <family val="2"/>
    </font>
    <font>
      <b/>
      <sz val="12"/>
      <color theme="0"/>
      <name val="Arial"/>
      <family val="2"/>
    </font>
    <font>
      <b/>
      <sz val="12"/>
      <color rgb="FF000000"/>
      <name val="Arial"/>
      <family val="2"/>
    </font>
    <font>
      <sz val="12"/>
      <color rgb="FF000000"/>
      <name val="Arial"/>
      <family val="2"/>
    </font>
    <font>
      <b/>
      <sz val="12"/>
      <color theme="9" tint="-0.249977111117893"/>
      <name val="Arial"/>
      <family val="2"/>
    </font>
    <font>
      <b/>
      <sz val="12"/>
      <name val="Arial"/>
      <family val="2"/>
    </font>
    <font>
      <b/>
      <sz val="9"/>
      <color theme="1"/>
      <name val="Arial"/>
      <family val="2"/>
    </font>
    <font>
      <sz val="12"/>
      <name val="Arial"/>
      <family val="2"/>
    </font>
    <font>
      <b/>
      <sz val="24"/>
      <color theme="0"/>
      <name val="Arial"/>
      <family val="2"/>
    </font>
    <font>
      <sz val="26"/>
      <name val="Arial"/>
      <family val="2"/>
    </font>
    <font>
      <b/>
      <sz val="26"/>
      <color theme="0"/>
      <name val="Arial"/>
      <family val="2"/>
    </font>
    <font>
      <sz val="9"/>
      <color theme="1"/>
      <name val="Arial"/>
      <family val="2"/>
    </font>
    <font>
      <b/>
      <sz val="26"/>
      <color rgb="FF000000"/>
      <name val="Arial"/>
      <family val="2"/>
    </font>
    <font>
      <sz val="26"/>
      <color theme="1"/>
      <name val="Calibri"/>
      <family val="2"/>
      <scheme val="minor"/>
    </font>
    <font>
      <sz val="26"/>
      <color theme="1"/>
      <name val="Arial"/>
      <family val="2"/>
    </font>
    <font>
      <sz val="8"/>
      <name val="Calibri"/>
      <family val="2"/>
      <scheme val="minor"/>
    </font>
    <font>
      <sz val="11"/>
      <color rgb="FF000000"/>
      <name val="Arial"/>
      <family val="2"/>
    </font>
    <font>
      <sz val="10"/>
      <color rgb="FF000000"/>
      <name val="Arial"/>
      <family val="2"/>
    </font>
    <font>
      <sz val="11"/>
      <name val="Arial Narrow"/>
      <family val="2"/>
    </font>
    <font>
      <b/>
      <sz val="10"/>
      <color theme="1"/>
      <name val="Arial"/>
      <family val="2"/>
    </font>
    <font>
      <b/>
      <sz val="10"/>
      <color rgb="FF000000"/>
      <name val="Arial"/>
      <family val="2"/>
    </font>
  </fonts>
  <fills count="1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rgb="FFFE1978"/>
        <bgColor indexed="64"/>
      </patternFill>
    </fill>
    <fill>
      <patternFill patternType="solid">
        <fgColor rgb="FFB61978"/>
        <bgColor indexed="64"/>
      </patternFill>
    </fill>
    <fill>
      <patternFill patternType="solid">
        <fgColor rgb="FF6E1978"/>
        <bgColor indexed="64"/>
      </patternFill>
    </fill>
  </fills>
  <borders count="72">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theme="0"/>
      </left>
      <right style="thin">
        <color theme="0"/>
      </right>
      <top style="thin">
        <color theme="0"/>
      </top>
      <bottom style="thin">
        <color theme="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style="thin">
        <color rgb="FF6E1978"/>
      </left>
      <right style="thin">
        <color rgb="FF6E1978"/>
      </right>
      <top style="thin">
        <color rgb="FF6E1978"/>
      </top>
      <bottom style="thin">
        <color rgb="FF6E1978"/>
      </bottom>
      <diagonal/>
    </border>
    <border>
      <left style="medium">
        <color rgb="FF6E1978"/>
      </left>
      <right/>
      <top style="medium">
        <color rgb="FF6E1978"/>
      </top>
      <bottom/>
      <diagonal/>
    </border>
    <border>
      <left/>
      <right/>
      <top style="medium">
        <color rgb="FF6E1978"/>
      </top>
      <bottom/>
      <diagonal/>
    </border>
    <border>
      <left style="medium">
        <color rgb="FF6E1978"/>
      </left>
      <right/>
      <top/>
      <bottom style="thin">
        <color theme="0"/>
      </bottom>
      <diagonal/>
    </border>
    <border>
      <left style="thin">
        <color theme="0"/>
      </left>
      <right style="medium">
        <color rgb="FF6E1978"/>
      </right>
      <top style="thin">
        <color theme="0"/>
      </top>
      <bottom style="thin">
        <color theme="0"/>
      </bottom>
      <diagonal/>
    </border>
    <border>
      <left style="medium">
        <color rgb="FF6E1978"/>
      </left>
      <right style="thin">
        <color theme="0"/>
      </right>
      <top style="thin">
        <color theme="0"/>
      </top>
      <bottom style="thin">
        <color theme="0"/>
      </bottom>
      <diagonal/>
    </border>
    <border>
      <left style="medium">
        <color rgb="FF6E1978"/>
      </left>
      <right style="thin">
        <color theme="0"/>
      </right>
      <top style="thin">
        <color theme="0"/>
      </top>
      <bottom/>
      <diagonal/>
    </border>
    <border>
      <left style="thin">
        <color theme="0"/>
      </left>
      <right style="medium">
        <color rgb="FF6E1978"/>
      </right>
      <top style="thin">
        <color theme="0"/>
      </top>
      <bottom/>
      <diagonal/>
    </border>
    <border>
      <left style="medium">
        <color rgb="FF6E1978"/>
      </left>
      <right style="thin">
        <color rgb="FF6E1978"/>
      </right>
      <top style="thin">
        <color rgb="FF6E1978"/>
      </top>
      <bottom style="thin">
        <color rgb="FF6E1978"/>
      </bottom>
      <diagonal/>
    </border>
    <border>
      <left style="thin">
        <color rgb="FF6E1978"/>
      </left>
      <right style="medium">
        <color rgb="FF6E1978"/>
      </right>
      <top style="thin">
        <color rgb="FF6E1978"/>
      </top>
      <bottom style="thin">
        <color rgb="FF6E1978"/>
      </bottom>
      <diagonal/>
    </border>
    <border>
      <left style="medium">
        <color rgb="FF6E1978"/>
      </left>
      <right style="thin">
        <color rgb="FF6E1978"/>
      </right>
      <top style="thin">
        <color rgb="FF6E1978"/>
      </top>
      <bottom style="medium">
        <color rgb="FF6E1978"/>
      </bottom>
      <diagonal/>
    </border>
    <border>
      <left style="thin">
        <color rgb="FF6E1978"/>
      </left>
      <right style="thin">
        <color rgb="FF6E1978"/>
      </right>
      <top style="thin">
        <color rgb="FF6E1978"/>
      </top>
      <bottom style="medium">
        <color rgb="FF6E1978"/>
      </bottom>
      <diagonal/>
    </border>
    <border>
      <left style="thin">
        <color rgb="FF6E1978"/>
      </left>
      <right style="medium">
        <color rgb="FF6E1978"/>
      </right>
      <top style="thin">
        <color rgb="FF6E1978"/>
      </top>
      <bottom style="medium">
        <color rgb="FF6E1978"/>
      </bottom>
      <diagonal/>
    </border>
    <border>
      <left style="medium">
        <color rgb="FF6E1978"/>
      </left>
      <right/>
      <top style="medium">
        <color rgb="FF6E1978"/>
      </top>
      <bottom style="medium">
        <color rgb="FF6E1978"/>
      </bottom>
      <diagonal/>
    </border>
    <border>
      <left/>
      <right/>
      <top style="medium">
        <color rgb="FF6E1978"/>
      </top>
      <bottom style="medium">
        <color rgb="FF6E1978"/>
      </bottom>
      <diagonal/>
    </border>
    <border>
      <left/>
      <right style="medium">
        <color rgb="FF6E1978"/>
      </right>
      <top style="medium">
        <color rgb="FF6E1978"/>
      </top>
      <bottom style="medium">
        <color rgb="FF6E1978"/>
      </bottom>
      <diagonal/>
    </border>
    <border>
      <left style="thin">
        <color theme="0"/>
      </left>
      <right/>
      <top style="thin">
        <color theme="0"/>
      </top>
      <bottom style="thin">
        <color theme="0"/>
      </bottom>
      <diagonal/>
    </border>
    <border>
      <left style="thin">
        <color theme="0"/>
      </left>
      <right/>
      <top style="thin">
        <color theme="0"/>
      </top>
      <bottom/>
      <diagonal/>
    </border>
    <border>
      <left style="thin">
        <color rgb="FF6E1978"/>
      </left>
      <right/>
      <top style="thin">
        <color rgb="FF6E1978"/>
      </top>
      <bottom style="thin">
        <color rgb="FF6E1978"/>
      </bottom>
      <diagonal/>
    </border>
    <border>
      <left style="medium">
        <color rgb="FF6E1978"/>
      </left>
      <right style="thin">
        <color theme="0"/>
      </right>
      <top style="medium">
        <color rgb="FF6E1978"/>
      </top>
      <bottom style="thin">
        <color theme="0"/>
      </bottom>
      <diagonal/>
    </border>
    <border>
      <left style="thin">
        <color theme="0"/>
      </left>
      <right style="thin">
        <color theme="0"/>
      </right>
      <top style="medium">
        <color rgb="FF6E1978"/>
      </top>
      <bottom style="thin">
        <color theme="0"/>
      </bottom>
      <diagonal/>
    </border>
    <border>
      <left style="thin">
        <color theme="0"/>
      </left>
      <right style="medium">
        <color rgb="FF6E1978"/>
      </right>
      <top style="medium">
        <color rgb="FF6E1978"/>
      </top>
      <bottom style="thin">
        <color theme="0"/>
      </bottom>
      <diagonal/>
    </border>
    <border>
      <left/>
      <right style="medium">
        <color rgb="FF6E1978"/>
      </right>
      <top/>
      <bottom style="medium">
        <color rgb="FF6E1978"/>
      </bottom>
      <diagonal/>
    </border>
    <border>
      <left style="thin">
        <color rgb="FF6E1978"/>
      </left>
      <right style="thin">
        <color rgb="FF6E1978"/>
      </right>
      <top/>
      <bottom style="thin">
        <color rgb="FF6E1978"/>
      </bottom>
      <diagonal/>
    </border>
    <border>
      <left style="thin">
        <color rgb="FF6E1978"/>
      </left>
      <right style="medium">
        <color rgb="FF6E1978"/>
      </right>
      <top/>
      <bottom style="thin">
        <color rgb="FF6E1978"/>
      </bottom>
      <diagonal/>
    </border>
    <border>
      <left style="thin">
        <color rgb="FF6E1978"/>
      </left>
      <right style="medium">
        <color rgb="FF6E1978"/>
      </right>
      <top style="medium">
        <color rgb="FF6E1978"/>
      </top>
      <bottom style="thin">
        <color rgb="FF6E1978"/>
      </bottom>
      <diagonal/>
    </border>
    <border>
      <left style="medium">
        <color rgb="FF6E1978"/>
      </left>
      <right style="thin">
        <color rgb="FF6E1978"/>
      </right>
      <top style="medium">
        <color rgb="FF6E1978"/>
      </top>
      <bottom style="thin">
        <color rgb="FF6E1978"/>
      </bottom>
      <diagonal/>
    </border>
    <border>
      <left style="thin">
        <color rgb="FF6E1978"/>
      </left>
      <right style="thin">
        <color rgb="FF6E1978"/>
      </right>
      <top style="medium">
        <color rgb="FF6E1978"/>
      </top>
      <bottom style="thin">
        <color rgb="FF6E1978"/>
      </bottom>
      <diagonal/>
    </border>
    <border>
      <left style="medium">
        <color rgb="FF6E1978"/>
      </left>
      <right style="thin">
        <color theme="0"/>
      </right>
      <top style="medium">
        <color rgb="FF6E1978"/>
      </top>
      <bottom/>
      <diagonal/>
    </border>
    <border>
      <left style="thin">
        <color theme="0"/>
      </left>
      <right style="thin">
        <color theme="0"/>
      </right>
      <top style="medium">
        <color rgb="FF6E1978"/>
      </top>
      <bottom/>
      <diagonal/>
    </border>
    <border>
      <left style="thin">
        <color theme="0"/>
      </left>
      <right style="medium">
        <color rgb="FF6E1978"/>
      </right>
      <top style="medium">
        <color rgb="FF6E1978"/>
      </top>
      <bottom/>
      <diagonal/>
    </border>
    <border>
      <left style="medium">
        <color rgb="FF6E1978"/>
      </left>
      <right style="thin">
        <color rgb="FF6E1978"/>
      </right>
      <top style="thin">
        <color rgb="FF6E1978"/>
      </top>
      <bottom/>
      <diagonal/>
    </border>
    <border>
      <left style="thin">
        <color rgb="FF6E1978"/>
      </left>
      <right style="thin">
        <color rgb="FF6E1978"/>
      </right>
      <top style="thin">
        <color rgb="FF6E1978"/>
      </top>
      <bottom/>
      <diagonal/>
    </border>
    <border>
      <left style="thin">
        <color rgb="FF6E1978"/>
      </left>
      <right style="thin">
        <color rgb="FF6E1978"/>
      </right>
      <top/>
      <bottom/>
      <diagonal/>
    </border>
    <border>
      <left/>
      <right style="thin">
        <color rgb="FF6E1978"/>
      </right>
      <top style="thin">
        <color rgb="FF6E1978"/>
      </top>
      <bottom style="thin">
        <color rgb="FF6E1978"/>
      </bottom>
      <diagonal/>
    </border>
    <border>
      <left style="thin">
        <color rgb="FF6E1978"/>
      </left>
      <right style="medium">
        <color rgb="FF6E1978"/>
      </right>
      <top style="thin">
        <color rgb="FF6E1978"/>
      </top>
      <bottom/>
      <diagonal/>
    </border>
    <border>
      <left style="thin">
        <color rgb="FF6E1978"/>
      </left>
      <right style="medium">
        <color rgb="FF6E1978"/>
      </right>
      <top/>
      <bottom/>
      <diagonal/>
    </border>
    <border>
      <left style="hair">
        <color indexed="64"/>
      </left>
      <right style="hair">
        <color indexed="64"/>
      </right>
      <top style="hair">
        <color indexed="64"/>
      </top>
      <bottom style="hair">
        <color indexed="64"/>
      </bottom>
      <diagonal/>
    </border>
    <border>
      <left/>
      <right style="thin">
        <color rgb="FF6E1978"/>
      </right>
      <top style="medium">
        <color rgb="FF6E1978"/>
      </top>
      <bottom/>
      <diagonal/>
    </border>
    <border>
      <left/>
      <right style="thin">
        <color rgb="FF6E1978"/>
      </right>
      <top/>
      <bottom style="thin">
        <color rgb="FF6E1978"/>
      </bottom>
      <diagonal/>
    </border>
    <border>
      <left style="medium">
        <color rgb="FF6E1978"/>
      </left>
      <right style="thin">
        <color rgb="FF6E1978"/>
      </right>
      <top/>
      <bottom/>
      <diagonal/>
    </border>
    <border>
      <left style="medium">
        <color rgb="FF6E1978"/>
      </left>
      <right style="thin">
        <color rgb="FF6E1978"/>
      </right>
      <top/>
      <bottom style="thin">
        <color rgb="FF6E1978"/>
      </bottom>
      <diagonal/>
    </border>
    <border>
      <left style="medium">
        <color rgb="FF6E1978"/>
      </left>
      <right/>
      <top style="thin">
        <color rgb="FF6E1978"/>
      </top>
      <bottom style="medium">
        <color rgb="FF6E1978"/>
      </bottom>
      <diagonal/>
    </border>
    <border>
      <left/>
      <right/>
      <top style="thin">
        <color rgb="FF6E1978"/>
      </top>
      <bottom style="medium">
        <color rgb="FF6E1978"/>
      </bottom>
      <diagonal/>
    </border>
    <border>
      <left/>
      <right style="medium">
        <color rgb="FF6E1978"/>
      </right>
      <top style="thin">
        <color rgb="FF6E1978"/>
      </top>
      <bottom style="medium">
        <color rgb="FF6E1978"/>
      </bottom>
      <diagonal/>
    </border>
    <border>
      <left/>
      <right/>
      <top/>
      <bottom style="medium">
        <color rgb="FF6E1978"/>
      </bottom>
      <diagonal/>
    </border>
    <border>
      <left style="medium">
        <color rgb="FF6E1978"/>
      </left>
      <right/>
      <top/>
      <bottom style="medium">
        <color rgb="FF6E1978"/>
      </bottom>
      <diagonal/>
    </border>
    <border>
      <left/>
      <right style="thin">
        <color rgb="FF6E1978"/>
      </right>
      <top/>
      <bottom style="medium">
        <color rgb="FF6E1978"/>
      </bottom>
      <diagonal/>
    </border>
  </borders>
  <cellStyleXfs count="5">
    <xf numFmtId="0" fontId="0" fillId="0" borderId="0"/>
    <xf numFmtId="9" fontId="3" fillId="0" borderId="0" applyFont="0" applyFill="0" applyBorder="0" applyAlignment="0" applyProtection="0"/>
    <xf numFmtId="0" fontId="18" fillId="0" borderId="0"/>
    <xf numFmtId="0" fontId="19" fillId="0" borderId="0"/>
    <xf numFmtId="0" fontId="2" fillId="0" borderId="0"/>
  </cellStyleXfs>
  <cellXfs count="397">
    <xf numFmtId="0" fontId="0" fillId="0" borderId="0" xfId="0"/>
    <xf numFmtId="0" fontId="2" fillId="0" borderId="0" xfId="0" applyFont="1"/>
    <xf numFmtId="0" fontId="1" fillId="0" borderId="1" xfId="0" applyFont="1" applyBorder="1" applyAlignment="1">
      <alignment horizontal="left" vertical="center" wrapText="1" indent="1" readingOrder="1"/>
    </xf>
    <xf numFmtId="0" fontId="7" fillId="10" borderId="2" xfId="0" applyFont="1" applyFill="1" applyBorder="1" applyAlignment="1" applyProtection="1">
      <alignment horizontal="center" vertical="center" wrapText="1" readingOrder="1"/>
      <protection hidden="1"/>
    </xf>
    <xf numFmtId="0" fontId="7" fillId="10" borderId="9" xfId="0" applyFont="1" applyFill="1" applyBorder="1" applyAlignment="1" applyProtection="1">
      <alignment horizontal="center" vertical="center" wrapText="1" readingOrder="1"/>
      <protection hidden="1"/>
    </xf>
    <xf numFmtId="0" fontId="7" fillId="10" borderId="3" xfId="0" applyFont="1" applyFill="1" applyBorder="1" applyAlignment="1" applyProtection="1">
      <alignment horizontal="center" vertical="center" wrapText="1" readingOrder="1"/>
      <protection hidden="1"/>
    </xf>
    <xf numFmtId="0" fontId="7" fillId="11" borderId="2" xfId="0" applyFont="1" applyFill="1" applyBorder="1" applyAlignment="1" applyProtection="1">
      <alignment horizontal="center" wrapText="1" readingOrder="1"/>
      <protection hidden="1"/>
    </xf>
    <xf numFmtId="0" fontId="7" fillId="11" borderId="9" xfId="0" applyFont="1" applyFill="1" applyBorder="1" applyAlignment="1" applyProtection="1">
      <alignment horizontal="center" wrapText="1" readingOrder="1"/>
      <protection hidden="1"/>
    </xf>
    <xf numFmtId="0" fontId="7" fillId="11" borderId="3" xfId="0" applyFont="1" applyFill="1" applyBorder="1" applyAlignment="1" applyProtection="1">
      <alignment horizontal="center" wrapText="1" readingOrder="1"/>
      <protection hidden="1"/>
    </xf>
    <xf numFmtId="0" fontId="7" fillId="10" borderId="4" xfId="0" applyFont="1" applyFill="1" applyBorder="1" applyAlignment="1" applyProtection="1">
      <alignment horizontal="center" vertical="center" wrapText="1" readingOrder="1"/>
      <protection hidden="1"/>
    </xf>
    <xf numFmtId="0" fontId="7" fillId="10" borderId="0" xfId="0" applyFont="1" applyFill="1" applyAlignment="1" applyProtection="1">
      <alignment horizontal="center" vertical="center" wrapText="1" readingOrder="1"/>
      <protection hidden="1"/>
    </xf>
    <xf numFmtId="0" fontId="7" fillId="10" borderId="5" xfId="0" applyFont="1" applyFill="1" applyBorder="1" applyAlignment="1" applyProtection="1">
      <alignment horizontal="center" vertical="center" wrapText="1" readingOrder="1"/>
      <protection hidden="1"/>
    </xf>
    <xf numFmtId="0" fontId="7" fillId="11" borderId="4" xfId="0" applyFont="1" applyFill="1" applyBorder="1" applyAlignment="1" applyProtection="1">
      <alignment horizontal="center" wrapText="1" readingOrder="1"/>
      <protection hidden="1"/>
    </xf>
    <xf numFmtId="0" fontId="7" fillId="11" borderId="0" xfId="0" applyFont="1" applyFill="1" applyAlignment="1" applyProtection="1">
      <alignment horizontal="center" wrapText="1" readingOrder="1"/>
      <protection hidden="1"/>
    </xf>
    <xf numFmtId="0" fontId="7" fillId="11" borderId="5" xfId="0" applyFont="1" applyFill="1" applyBorder="1" applyAlignment="1" applyProtection="1">
      <alignment horizontal="center" wrapText="1" readingOrder="1"/>
      <protection hidden="1"/>
    </xf>
    <xf numFmtId="0" fontId="7" fillId="10" borderId="6" xfId="0" applyFont="1" applyFill="1" applyBorder="1" applyAlignment="1" applyProtection="1">
      <alignment horizontal="center" vertical="center" wrapText="1" readingOrder="1"/>
      <protection hidden="1"/>
    </xf>
    <xf numFmtId="0" fontId="7" fillId="10" borderId="8" xfId="0" applyFont="1" applyFill="1" applyBorder="1" applyAlignment="1" applyProtection="1">
      <alignment horizontal="center" vertical="center" wrapText="1" readingOrder="1"/>
      <protection hidden="1"/>
    </xf>
    <xf numFmtId="0" fontId="7" fillId="10" borderId="7" xfId="0" applyFont="1" applyFill="1" applyBorder="1" applyAlignment="1" applyProtection="1">
      <alignment horizontal="center" vertical="center" wrapText="1" readingOrder="1"/>
      <protection hidden="1"/>
    </xf>
    <xf numFmtId="0" fontId="7" fillId="11" borderId="6" xfId="0" applyFont="1" applyFill="1" applyBorder="1" applyAlignment="1" applyProtection="1">
      <alignment horizontal="center" wrapText="1" readingOrder="1"/>
      <protection hidden="1"/>
    </xf>
    <xf numFmtId="0" fontId="7" fillId="11" borderId="8" xfId="0" applyFont="1" applyFill="1" applyBorder="1" applyAlignment="1" applyProtection="1">
      <alignment horizontal="center" wrapText="1" readingOrder="1"/>
      <protection hidden="1"/>
    </xf>
    <xf numFmtId="0" fontId="7" fillId="11" borderId="7" xfId="0" applyFont="1" applyFill="1" applyBorder="1" applyAlignment="1" applyProtection="1">
      <alignment horizontal="center" wrapText="1" readingOrder="1"/>
      <protection hidden="1"/>
    </xf>
    <xf numFmtId="0" fontId="7" fillId="12" borderId="2" xfId="0" applyFont="1" applyFill="1" applyBorder="1" applyAlignment="1" applyProtection="1">
      <alignment horizontal="center" wrapText="1" readingOrder="1"/>
      <protection hidden="1"/>
    </xf>
    <xf numFmtId="0" fontId="7" fillId="12" borderId="9" xfId="0" applyFont="1" applyFill="1" applyBorder="1" applyAlignment="1" applyProtection="1">
      <alignment horizontal="center" wrapText="1" readingOrder="1"/>
      <protection hidden="1"/>
    </xf>
    <xf numFmtId="0" fontId="7" fillId="12" borderId="3" xfId="0" applyFont="1" applyFill="1" applyBorder="1" applyAlignment="1" applyProtection="1">
      <alignment horizontal="center" wrapText="1" readingOrder="1"/>
      <protection hidden="1"/>
    </xf>
    <xf numFmtId="0" fontId="7" fillId="12" borderId="4" xfId="0" applyFont="1" applyFill="1" applyBorder="1" applyAlignment="1" applyProtection="1">
      <alignment horizontal="center" wrapText="1" readingOrder="1"/>
      <protection hidden="1"/>
    </xf>
    <xf numFmtId="0" fontId="7" fillId="12" borderId="0" xfId="0" applyFont="1" applyFill="1" applyAlignment="1" applyProtection="1">
      <alignment horizontal="center" wrapText="1" readingOrder="1"/>
      <protection hidden="1"/>
    </xf>
    <xf numFmtId="0" fontId="7" fillId="12" borderId="5" xfId="0" applyFont="1" applyFill="1" applyBorder="1" applyAlignment="1" applyProtection="1">
      <alignment horizontal="center" wrapText="1" readingOrder="1"/>
      <protection hidden="1"/>
    </xf>
    <xf numFmtId="0" fontId="7" fillId="12" borderId="6" xfId="0" applyFont="1" applyFill="1" applyBorder="1" applyAlignment="1" applyProtection="1">
      <alignment horizontal="center" wrapText="1" readingOrder="1"/>
      <protection hidden="1"/>
    </xf>
    <xf numFmtId="0" fontId="7" fillId="12" borderId="8" xfId="0" applyFont="1" applyFill="1" applyBorder="1" applyAlignment="1" applyProtection="1">
      <alignment horizontal="center" wrapText="1" readingOrder="1"/>
      <protection hidden="1"/>
    </xf>
    <xf numFmtId="0" fontId="7" fillId="12" borderId="7" xfId="0" applyFont="1" applyFill="1" applyBorder="1" applyAlignment="1" applyProtection="1">
      <alignment horizontal="center" wrapText="1" readingOrder="1"/>
      <protection hidden="1"/>
    </xf>
    <xf numFmtId="0" fontId="7" fillId="5" borderId="2" xfId="0" applyFont="1" applyFill="1" applyBorder="1" applyAlignment="1" applyProtection="1">
      <alignment horizontal="center" wrapText="1" readingOrder="1"/>
      <protection hidden="1"/>
    </xf>
    <xf numFmtId="0" fontId="7" fillId="5" borderId="9" xfId="0" applyFont="1" applyFill="1" applyBorder="1" applyAlignment="1" applyProtection="1">
      <alignment horizontal="center" wrapText="1" readingOrder="1"/>
      <protection hidden="1"/>
    </xf>
    <xf numFmtId="0" fontId="7" fillId="5" borderId="3" xfId="0" applyFont="1" applyFill="1" applyBorder="1" applyAlignment="1" applyProtection="1">
      <alignment horizontal="center" wrapText="1" readingOrder="1"/>
      <protection hidden="1"/>
    </xf>
    <xf numFmtId="0" fontId="7" fillId="5" borderId="4" xfId="0" applyFont="1" applyFill="1" applyBorder="1" applyAlignment="1" applyProtection="1">
      <alignment horizontal="center" wrapText="1" readingOrder="1"/>
      <protection hidden="1"/>
    </xf>
    <xf numFmtId="0" fontId="7" fillId="5" borderId="0" xfId="0" applyFont="1" applyFill="1" applyAlignment="1" applyProtection="1">
      <alignment horizontal="center" wrapText="1" readingOrder="1"/>
      <protection hidden="1"/>
    </xf>
    <xf numFmtId="0" fontId="7" fillId="5" borderId="5" xfId="0" applyFont="1" applyFill="1" applyBorder="1" applyAlignment="1" applyProtection="1">
      <alignment horizontal="center" wrapText="1" readingOrder="1"/>
      <protection hidden="1"/>
    </xf>
    <xf numFmtId="0" fontId="7" fillId="5" borderId="6" xfId="0" applyFont="1" applyFill="1" applyBorder="1" applyAlignment="1" applyProtection="1">
      <alignment horizontal="center" wrapText="1" readingOrder="1"/>
      <protection hidden="1"/>
    </xf>
    <xf numFmtId="0" fontId="7" fillId="5" borderId="8" xfId="0" applyFont="1" applyFill="1" applyBorder="1" applyAlignment="1" applyProtection="1">
      <alignment horizontal="center" wrapText="1" readingOrder="1"/>
      <protection hidden="1"/>
    </xf>
    <xf numFmtId="0" fontId="7" fillId="5" borderId="7" xfId="0" applyFont="1" applyFill="1" applyBorder="1" applyAlignment="1" applyProtection="1">
      <alignment horizontal="center" wrapText="1" readingOrder="1"/>
      <protection hidden="1"/>
    </xf>
    <xf numFmtId="0" fontId="11" fillId="12" borderId="9" xfId="0" applyFont="1" applyFill="1" applyBorder="1" applyAlignment="1" applyProtection="1">
      <alignment horizontal="center" wrapText="1" readingOrder="1"/>
      <protection hidden="1"/>
    </xf>
    <xf numFmtId="0" fontId="0" fillId="3" borderId="0" xfId="0" applyFill="1"/>
    <xf numFmtId="0" fontId="4" fillId="3" borderId="0" xfId="0" applyFont="1" applyFill="1" applyAlignment="1">
      <alignment vertical="center"/>
    </xf>
    <xf numFmtId="0" fontId="14" fillId="3" borderId="0" xfId="0" applyFont="1" applyFill="1" applyAlignment="1">
      <alignment horizontal="center" vertical="center" wrapText="1"/>
    </xf>
    <xf numFmtId="0" fontId="20" fillId="3" borderId="0" xfId="0" applyFont="1" applyFill="1"/>
    <xf numFmtId="0" fontId="20" fillId="0" borderId="0" xfId="0" applyFont="1"/>
    <xf numFmtId="0" fontId="23" fillId="3" borderId="0" xfId="0" applyFont="1" applyFill="1" applyAlignment="1">
      <alignment horizontal="center" vertical="center"/>
    </xf>
    <xf numFmtId="0" fontId="23" fillId="2" borderId="0" xfId="0" applyFont="1" applyFill="1" applyAlignment="1">
      <alignment horizontal="center" vertical="center"/>
    </xf>
    <xf numFmtId="0" fontId="20" fillId="3" borderId="0" xfId="0" applyFont="1" applyFill="1" applyAlignment="1">
      <alignment vertical="center"/>
    </xf>
    <xf numFmtId="0" fontId="20" fillId="0" borderId="0" xfId="0" applyFont="1" applyAlignment="1">
      <alignment vertical="center"/>
    </xf>
    <xf numFmtId="0" fontId="23" fillId="0" borderId="0" xfId="0" applyFont="1" applyAlignment="1">
      <alignment horizontal="left" vertical="center"/>
    </xf>
    <xf numFmtId="0" fontId="20" fillId="0" borderId="0" xfId="0" applyFont="1" applyAlignment="1">
      <alignment horizontal="center" vertical="center"/>
    </xf>
    <xf numFmtId="0" fontId="29" fillId="3" borderId="0" xfId="0" applyFont="1" applyFill="1"/>
    <xf numFmtId="0" fontId="32" fillId="3" borderId="0" xfId="0" applyFont="1" applyFill="1" applyAlignment="1">
      <alignment horizontal="justify" vertical="center" wrapText="1" readingOrder="1"/>
    </xf>
    <xf numFmtId="0" fontId="23" fillId="3" borderId="0" xfId="0" applyFont="1" applyFill="1" applyAlignment="1">
      <alignment vertical="center"/>
    </xf>
    <xf numFmtId="0" fontId="21" fillId="3" borderId="0" xfId="0" applyFont="1" applyFill="1"/>
    <xf numFmtId="0" fontId="29" fillId="0" borderId="0" xfId="0" applyFont="1"/>
    <xf numFmtId="0" fontId="32" fillId="0" borderId="0" xfId="0" applyFont="1" applyAlignment="1">
      <alignment horizontal="justify" vertical="center" wrapText="1" readingOrder="1"/>
    </xf>
    <xf numFmtId="0" fontId="33" fillId="0" borderId="0" xfId="0" applyFont="1" applyAlignment="1">
      <alignment vertical="center"/>
    </xf>
    <xf numFmtId="0" fontId="20" fillId="0" borderId="0" xfId="0" pivotButton="1" applyFont="1"/>
    <xf numFmtId="0" fontId="33" fillId="0" borderId="0" xfId="0" applyFont="1"/>
    <xf numFmtId="0" fontId="34" fillId="0" borderId="0" xfId="0" applyFont="1"/>
    <xf numFmtId="0" fontId="21" fillId="0" borderId="0" xfId="0" applyFont="1"/>
    <xf numFmtId="0" fontId="24" fillId="3" borderId="0" xfId="0" applyFont="1" applyFill="1"/>
    <xf numFmtId="0" fontId="35" fillId="3" borderId="0" xfId="0" applyFont="1" applyFill="1"/>
    <xf numFmtId="0" fontId="41" fillId="3" borderId="0" xfId="0" applyFont="1" applyFill="1"/>
    <xf numFmtId="0" fontId="23" fillId="3" borderId="0" xfId="0" applyFont="1" applyFill="1" applyAlignment="1">
      <alignment horizontal="left" vertical="center"/>
    </xf>
    <xf numFmtId="0" fontId="44" fillId="0" borderId="0" xfId="0" applyFont="1" applyAlignment="1">
      <alignment horizontal="center" vertical="center" wrapText="1"/>
    </xf>
    <xf numFmtId="0" fontId="46" fillId="0" borderId="0" xfId="0" applyFont="1"/>
    <xf numFmtId="0" fontId="41" fillId="0" borderId="0" xfId="0" applyFont="1"/>
    <xf numFmtId="0" fontId="30" fillId="0" borderId="0" xfId="0" applyFont="1" applyAlignment="1">
      <alignment horizontal="justify" vertical="center" wrapText="1" readingOrder="1"/>
    </xf>
    <xf numFmtId="0" fontId="43" fillId="0" borderId="0" xfId="0" applyFont="1" applyAlignment="1">
      <alignment horizontal="center" vertical="center" wrapText="1" readingOrder="1"/>
    </xf>
    <xf numFmtId="0" fontId="23" fillId="0" borderId="0" xfId="0" applyFont="1" applyAlignment="1">
      <alignment horizontal="center" vertical="center"/>
    </xf>
    <xf numFmtId="0" fontId="20" fillId="3" borderId="0" xfId="0" applyFont="1" applyFill="1" applyAlignment="1">
      <alignment wrapText="1"/>
    </xf>
    <xf numFmtId="0" fontId="20" fillId="0" borderId="0" xfId="0" applyFont="1" applyAlignment="1">
      <alignment wrapText="1"/>
    </xf>
    <xf numFmtId="0" fontId="20" fillId="0" borderId="0" xfId="0" pivotButton="1" applyFont="1" applyAlignment="1">
      <alignment wrapText="1"/>
    </xf>
    <xf numFmtId="0" fontId="13" fillId="0" borderId="0" xfId="0" applyFont="1" applyAlignment="1">
      <alignment wrapText="1"/>
    </xf>
    <xf numFmtId="0" fontId="25" fillId="13" borderId="23" xfId="0" applyFont="1" applyFill="1" applyBorder="1" applyAlignment="1">
      <alignment horizontal="center" vertical="center" textRotation="90"/>
    </xf>
    <xf numFmtId="0" fontId="23" fillId="0" borderId="24" xfId="0" applyFont="1" applyBorder="1" applyAlignment="1" applyProtection="1">
      <alignment horizontal="center" vertical="center" textRotation="90"/>
      <protection hidden="1"/>
    </xf>
    <xf numFmtId="0" fontId="20" fillId="0" borderId="24" xfId="0" applyFont="1" applyBorder="1" applyAlignment="1" applyProtection="1">
      <alignment horizontal="center" vertical="center" textRotation="90"/>
      <protection locked="0"/>
    </xf>
    <xf numFmtId="0" fontId="30" fillId="0" borderId="24" xfId="0" applyFont="1" applyBorder="1" applyAlignment="1">
      <alignment horizontal="justify" vertical="center" wrapText="1" readingOrder="1"/>
    </xf>
    <xf numFmtId="9" fontId="30" fillId="0" borderId="24" xfId="0" applyNumberFormat="1" applyFont="1" applyBorder="1" applyAlignment="1">
      <alignment horizontal="center" vertical="center" wrapText="1" readingOrder="1"/>
    </xf>
    <xf numFmtId="0" fontId="30" fillId="5" borderId="24" xfId="0" applyFont="1" applyFill="1" applyBorder="1" applyAlignment="1">
      <alignment horizontal="center" vertical="center" wrapText="1" readingOrder="1"/>
    </xf>
    <xf numFmtId="0" fontId="30" fillId="6" borderId="24" xfId="0" applyFont="1" applyFill="1" applyBorder="1" applyAlignment="1">
      <alignment horizontal="center" vertical="center" wrapText="1" readingOrder="1"/>
    </xf>
    <xf numFmtId="0" fontId="30" fillId="4" borderId="24" xfId="0" applyFont="1" applyFill="1" applyBorder="1" applyAlignment="1">
      <alignment horizontal="center" vertical="center" wrapText="1" readingOrder="1"/>
    </xf>
    <xf numFmtId="0" fontId="30" fillId="7" borderId="24" xfId="0" applyFont="1" applyFill="1" applyBorder="1" applyAlignment="1">
      <alignment horizontal="center" vertical="center" wrapText="1" readingOrder="1"/>
    </xf>
    <xf numFmtId="0" fontId="31" fillId="8" borderId="24" xfId="0" applyFont="1" applyFill="1" applyBorder="1" applyAlignment="1">
      <alignment horizontal="center" vertical="center" wrapText="1" readingOrder="1"/>
    </xf>
    <xf numFmtId="0" fontId="45" fillId="15" borderId="24" xfId="0" applyFont="1" applyFill="1" applyBorder="1" applyAlignment="1">
      <alignment horizontal="center" vertical="center" wrapText="1" readingOrder="1"/>
    </xf>
    <xf numFmtId="0" fontId="30" fillId="0" borderId="24" xfId="0" applyFont="1" applyBorder="1" applyAlignment="1">
      <alignment horizontal="center" vertical="center" wrapText="1" readingOrder="1"/>
    </xf>
    <xf numFmtId="0" fontId="43" fillId="15" borderId="24" xfId="0" applyFont="1" applyFill="1" applyBorder="1" applyAlignment="1">
      <alignment horizontal="center" vertical="center" wrapText="1" readingOrder="1"/>
    </xf>
    <xf numFmtId="0" fontId="47" fillId="0" borderId="24" xfId="0" applyFont="1" applyBorder="1" applyAlignment="1">
      <alignment horizontal="center" vertical="center" wrapText="1"/>
    </xf>
    <xf numFmtId="0" fontId="30" fillId="0" borderId="24" xfId="0" applyFont="1" applyBorder="1" applyAlignment="1">
      <alignment horizontal="justify" vertical="center" wrapText="1"/>
    </xf>
    <xf numFmtId="0" fontId="48" fillId="0" borderId="24" xfId="0" applyFont="1" applyBorder="1" applyAlignment="1">
      <alignment vertical="top" wrapText="1"/>
    </xf>
    <xf numFmtId="0" fontId="47" fillId="0" borderId="33" xfId="0" applyFont="1" applyBorder="1" applyAlignment="1">
      <alignment horizontal="center" vertical="center" wrapText="1"/>
    </xf>
    <xf numFmtId="0" fontId="30" fillId="0" borderId="32" xfId="0" applyFont="1" applyBorder="1" applyAlignment="1">
      <alignment horizontal="center" vertical="center" wrapText="1"/>
    </xf>
    <xf numFmtId="0" fontId="30" fillId="0" borderId="33" xfId="0" applyFont="1" applyBorder="1" applyAlignment="1">
      <alignment horizontal="justify" vertical="center" wrapText="1"/>
    </xf>
    <xf numFmtId="0" fontId="37" fillId="3" borderId="24" xfId="0" applyFont="1" applyFill="1" applyBorder="1" applyAlignment="1">
      <alignment horizontal="center" vertical="center" wrapText="1" readingOrder="1"/>
    </xf>
    <xf numFmtId="0" fontId="38" fillId="3" borderId="24" xfId="0" applyFont="1" applyFill="1" applyBorder="1" applyAlignment="1">
      <alignment horizontal="justify" vertical="center" wrapText="1" readingOrder="1"/>
    </xf>
    <xf numFmtId="0" fontId="36" fillId="15" borderId="53" xfId="0" applyFont="1" applyFill="1" applyBorder="1" applyAlignment="1">
      <alignment horizontal="center" vertical="center" wrapText="1" readingOrder="1"/>
    </xf>
    <xf numFmtId="0" fontId="36" fillId="15" borderId="54" xfId="0" applyFont="1" applyFill="1" applyBorder="1" applyAlignment="1">
      <alignment horizontal="center" vertical="center" wrapText="1" readingOrder="1"/>
    </xf>
    <xf numFmtId="9" fontId="37" fillId="3" borderId="33" xfId="0" applyNumberFormat="1" applyFont="1" applyFill="1" applyBorder="1" applyAlignment="1">
      <alignment horizontal="center" vertical="center" wrapText="1" readingOrder="1"/>
    </xf>
    <xf numFmtId="0" fontId="38" fillId="3" borderId="33" xfId="0" applyFont="1" applyFill="1" applyBorder="1" applyAlignment="1">
      <alignment horizontal="center" vertical="center" wrapText="1" readingOrder="1"/>
    </xf>
    <xf numFmtId="0" fontId="37" fillId="3" borderId="35" xfId="0" applyFont="1" applyFill="1" applyBorder="1" applyAlignment="1">
      <alignment horizontal="center" vertical="center" wrapText="1" readingOrder="1"/>
    </xf>
    <xf numFmtId="0" fontId="38" fillId="3" borderId="35" xfId="0" applyFont="1" applyFill="1" applyBorder="1" applyAlignment="1">
      <alignment horizontal="justify" vertical="center" wrapText="1" readingOrder="1"/>
    </xf>
    <xf numFmtId="0" fontId="38" fillId="3" borderId="36" xfId="0" applyFont="1" applyFill="1" applyBorder="1" applyAlignment="1">
      <alignment horizontal="center" vertical="center" wrapText="1" readingOrder="1"/>
    </xf>
    <xf numFmtId="9" fontId="37" fillId="3" borderId="24" xfId="0" applyNumberFormat="1" applyFont="1" applyFill="1" applyBorder="1" applyAlignment="1">
      <alignment horizontal="center" vertical="center" wrapText="1" readingOrder="1"/>
    </xf>
    <xf numFmtId="0" fontId="20" fillId="0" borderId="24" xfId="0" applyFont="1" applyBorder="1" applyAlignment="1" applyProtection="1">
      <alignment horizontal="center" vertical="center" wrapText="1"/>
      <protection locked="0"/>
    </xf>
    <xf numFmtId="0" fontId="20" fillId="0" borderId="24" xfId="0" applyFont="1" applyBorder="1" applyAlignment="1">
      <alignment horizontal="center" vertical="center"/>
    </xf>
    <xf numFmtId="0" fontId="52" fillId="0" borderId="24" xfId="0" applyFont="1" applyBorder="1" applyAlignment="1" applyProtection="1">
      <alignment horizontal="center" vertical="center" wrapText="1"/>
      <protection locked="0"/>
    </xf>
    <xf numFmtId="0" fontId="20" fillId="0" borderId="24" xfId="0" applyFont="1" applyBorder="1" applyAlignment="1" applyProtection="1">
      <alignment horizontal="center" vertical="center"/>
      <protection hidden="1"/>
    </xf>
    <xf numFmtId="9" fontId="20" fillId="0" borderId="24" xfId="0" applyNumberFormat="1" applyFont="1" applyBorder="1" applyAlignment="1" applyProtection="1">
      <alignment horizontal="center" vertical="center"/>
      <protection hidden="1"/>
    </xf>
    <xf numFmtId="164" fontId="20" fillId="0" borderId="24" xfId="1" applyNumberFormat="1" applyFont="1" applyBorder="1" applyAlignment="1">
      <alignment horizontal="center" vertical="center"/>
    </xf>
    <xf numFmtId="0" fontId="23" fillId="0" borderId="24" xfId="0" applyFont="1" applyBorder="1" applyAlignment="1" applyProtection="1">
      <alignment horizontal="center" vertical="center" textRotation="90" wrapText="1"/>
      <protection hidden="1"/>
    </xf>
    <xf numFmtId="0" fontId="20" fillId="0" borderId="24" xfId="0" applyFont="1" applyBorder="1" applyAlignment="1" applyProtection="1">
      <alignment horizontal="center" vertical="center"/>
      <protection locked="0"/>
    </xf>
    <xf numFmtId="14" fontId="20" fillId="0" borderId="24" xfId="0" applyNumberFormat="1" applyFont="1" applyBorder="1" applyAlignment="1" applyProtection="1">
      <alignment horizontal="center" vertical="center"/>
      <protection locked="0"/>
    </xf>
    <xf numFmtId="0" fontId="20" fillId="0" borderId="42" xfId="0" applyFont="1" applyBorder="1" applyAlignment="1" applyProtection="1">
      <alignment horizontal="center" vertical="center"/>
      <protection locked="0"/>
    </xf>
    <xf numFmtId="0" fontId="24" fillId="0" borderId="24" xfId="0" applyFont="1" applyBorder="1" applyAlignment="1" applyProtection="1">
      <alignment horizontal="center" vertical="center" wrapText="1"/>
      <protection locked="0"/>
    </xf>
    <xf numFmtId="0" fontId="20" fillId="0" borderId="42" xfId="0" applyFont="1" applyBorder="1" applyAlignment="1" applyProtection="1">
      <alignment horizontal="center" vertical="center" wrapText="1"/>
      <protection locked="0"/>
    </xf>
    <xf numFmtId="9" fontId="20" fillId="0" borderId="24" xfId="0" applyNumberFormat="1" applyFont="1" applyBorder="1" applyAlignment="1" applyProtection="1">
      <alignment horizontal="center" vertical="center" wrapText="1"/>
      <protection hidden="1"/>
    </xf>
    <xf numFmtId="14" fontId="20" fillId="0" borderId="24" xfId="0" applyNumberFormat="1" applyFont="1" applyBorder="1" applyAlignment="1" applyProtection="1">
      <alignment horizontal="center" vertical="center" wrapText="1"/>
      <protection locked="0"/>
    </xf>
    <xf numFmtId="164" fontId="20" fillId="0" borderId="24" xfId="1" applyNumberFormat="1" applyFont="1" applyFill="1" applyBorder="1" applyAlignment="1">
      <alignment horizontal="center" vertical="center"/>
    </xf>
    <xf numFmtId="0" fontId="51" fillId="0" borderId="24" xfId="0" applyFont="1" applyBorder="1" applyAlignment="1">
      <alignment horizontal="center" vertical="center"/>
    </xf>
    <xf numFmtId="0" fontId="51" fillId="0" borderId="24" xfId="0" applyFont="1" applyBorder="1" applyAlignment="1">
      <alignment horizontal="center" vertical="center" textRotation="90"/>
    </xf>
    <xf numFmtId="0" fontId="20" fillId="0" borderId="24" xfId="0" applyFont="1" applyBorder="1" applyAlignment="1">
      <alignment horizontal="center" vertical="center" wrapText="1"/>
    </xf>
    <xf numFmtId="0" fontId="21" fillId="0" borderId="24" xfId="0" applyFont="1" applyBorder="1" applyAlignment="1" applyProtection="1">
      <alignment horizontal="center" vertical="center" wrapText="1"/>
      <protection locked="0"/>
    </xf>
    <xf numFmtId="14" fontId="21" fillId="0" borderId="24" xfId="0" applyNumberFormat="1" applyFont="1" applyBorder="1" applyAlignment="1" applyProtection="1">
      <alignment horizontal="center" vertical="center" wrapText="1"/>
      <protection locked="0"/>
    </xf>
    <xf numFmtId="9" fontId="20" fillId="0" borderId="24" xfId="1" applyFont="1" applyBorder="1" applyAlignment="1" applyProtection="1">
      <alignment horizontal="center" vertical="center" wrapText="1"/>
      <protection locked="0"/>
    </xf>
    <xf numFmtId="0" fontId="20" fillId="0" borderId="24" xfId="1" applyNumberFormat="1" applyFont="1" applyBorder="1" applyAlignment="1" applyProtection="1">
      <alignment horizontal="center" vertical="center" wrapText="1"/>
      <protection locked="0"/>
    </xf>
    <xf numFmtId="14" fontId="20" fillId="3" borderId="24" xfId="0" applyNumberFormat="1" applyFont="1" applyFill="1" applyBorder="1" applyAlignment="1" applyProtection="1">
      <alignment horizontal="center" vertical="center" wrapText="1"/>
      <protection locked="0"/>
    </xf>
    <xf numFmtId="14" fontId="20" fillId="0" borderId="24" xfId="1" applyNumberFormat="1" applyFont="1" applyBorder="1" applyAlignment="1" applyProtection="1">
      <alignment horizontal="center" vertical="center" wrapText="1"/>
      <protection locked="0"/>
    </xf>
    <xf numFmtId="0" fontId="18" fillId="0" borderId="24" xfId="0" applyFont="1" applyBorder="1" applyAlignment="1" applyProtection="1">
      <alignment horizontal="center" vertical="center" wrapText="1"/>
      <protection locked="0"/>
    </xf>
    <xf numFmtId="0" fontId="20" fillId="0" borderId="58" xfId="0" applyFont="1" applyBorder="1" applyAlignment="1" applyProtection="1">
      <alignment horizontal="center" vertical="center" textRotation="90"/>
      <protection locked="0"/>
    </xf>
    <xf numFmtId="0" fontId="20" fillId="3" borderId="24" xfId="0" applyFont="1" applyFill="1" applyBorder="1" applyAlignment="1" applyProtection="1">
      <alignment horizontal="center" vertical="center" wrapText="1"/>
      <protection locked="0"/>
    </xf>
    <xf numFmtId="0" fontId="20" fillId="0" borderId="42" xfId="0" applyFont="1" applyBorder="1" applyAlignment="1">
      <alignment horizontal="center" vertical="center"/>
    </xf>
    <xf numFmtId="0" fontId="20" fillId="0" borderId="58" xfId="0" applyFont="1" applyBorder="1" applyAlignment="1" applyProtection="1">
      <alignment horizontal="center" vertical="center"/>
      <protection hidden="1"/>
    </xf>
    <xf numFmtId="0" fontId="23" fillId="0" borderId="24" xfId="0" applyFont="1" applyBorder="1" applyAlignment="1" applyProtection="1">
      <alignment horizontal="center" vertical="center"/>
      <protection hidden="1"/>
    </xf>
    <xf numFmtId="14" fontId="21" fillId="0" borderId="24" xfId="0" applyNumberFormat="1" applyFont="1" applyBorder="1" applyAlignment="1" applyProtection="1">
      <alignment horizontal="center" vertical="center" wrapText="1"/>
      <protection locked="0"/>
    </xf>
    <xf numFmtId="0" fontId="21" fillId="0" borderId="24" xfId="0" applyFont="1" applyBorder="1" applyAlignment="1" applyProtection="1">
      <alignment horizontal="center" vertical="center" wrapText="1"/>
      <protection locked="0"/>
    </xf>
    <xf numFmtId="9" fontId="20" fillId="0" borderId="24" xfId="0" applyNumberFormat="1" applyFont="1" applyBorder="1" applyAlignment="1" applyProtection="1">
      <alignment horizontal="center" vertical="center" wrapText="1"/>
      <protection locked="0"/>
    </xf>
    <xf numFmtId="9" fontId="20" fillId="0" borderId="24" xfId="0" applyNumberFormat="1" applyFont="1" applyBorder="1" applyAlignment="1" applyProtection="1">
      <alignment horizontal="center" vertical="center" wrapText="1"/>
      <protection hidden="1"/>
    </xf>
    <xf numFmtId="0" fontId="23" fillId="0" borderId="24" xfId="0" applyFont="1" applyBorder="1" applyAlignment="1" applyProtection="1">
      <alignment horizontal="center" vertical="center" wrapText="1"/>
      <protection hidden="1"/>
    </xf>
    <xf numFmtId="14" fontId="21" fillId="0" borderId="32" xfId="0" applyNumberFormat="1" applyFont="1" applyBorder="1" applyAlignment="1" applyProtection="1">
      <alignment horizontal="center" vertical="center" wrapText="1"/>
      <protection locked="0"/>
    </xf>
    <xf numFmtId="0" fontId="20" fillId="0" borderId="32" xfId="0" applyFont="1" applyBorder="1" applyAlignment="1">
      <alignment horizontal="center" vertical="center" textRotation="90"/>
    </xf>
    <xf numFmtId="0" fontId="20" fillId="0" borderId="24" xfId="0" applyFont="1" applyBorder="1" applyAlignment="1" applyProtection="1">
      <alignment horizontal="center" vertical="center" wrapText="1"/>
      <protection locked="0"/>
    </xf>
    <xf numFmtId="0" fontId="20" fillId="0" borderId="56" xfId="0" applyFont="1" applyBorder="1" applyAlignment="1" applyProtection="1">
      <alignment horizontal="center" vertical="center" wrapText="1"/>
      <protection locked="0"/>
    </xf>
    <xf numFmtId="0" fontId="20" fillId="0" borderId="57" xfId="0" applyFont="1" applyBorder="1" applyAlignment="1" applyProtection="1">
      <alignment horizontal="center" vertical="center" wrapText="1"/>
      <protection locked="0"/>
    </xf>
    <xf numFmtId="0" fontId="20" fillId="0" borderId="47" xfId="0" applyFont="1" applyBorder="1" applyAlignment="1" applyProtection="1">
      <alignment horizontal="center" vertical="center" wrapText="1"/>
      <protection locked="0"/>
    </xf>
    <xf numFmtId="0" fontId="21" fillId="0" borderId="56" xfId="0" applyFont="1" applyBorder="1" applyAlignment="1" applyProtection="1">
      <alignment horizontal="center" vertical="center" wrapText="1"/>
      <protection locked="0"/>
    </xf>
    <xf numFmtId="0" fontId="21" fillId="0" borderId="57" xfId="0" applyFont="1" applyBorder="1" applyAlignment="1" applyProtection="1">
      <alignment horizontal="center" vertical="center" wrapText="1"/>
      <protection locked="0"/>
    </xf>
    <xf numFmtId="0" fontId="21" fillId="0" borderId="47" xfId="0" applyFont="1" applyBorder="1" applyAlignment="1" applyProtection="1">
      <alignment horizontal="center" vertical="center" wrapText="1"/>
      <protection locked="0"/>
    </xf>
    <xf numFmtId="0" fontId="20" fillId="0" borderId="55" xfId="0" applyFont="1" applyBorder="1" applyAlignment="1">
      <alignment horizontal="center" vertical="center" textRotation="90"/>
    </xf>
    <xf numFmtId="0" fontId="20" fillId="0" borderId="64" xfId="0" applyFont="1" applyBorder="1" applyAlignment="1">
      <alignment horizontal="center" vertical="center" textRotation="90"/>
    </xf>
    <xf numFmtId="0" fontId="20" fillId="0" borderId="65" xfId="0" applyFont="1" applyBorder="1" applyAlignment="1">
      <alignment horizontal="center" vertical="center" textRotation="90"/>
    </xf>
    <xf numFmtId="0" fontId="23" fillId="0" borderId="56" xfId="0" applyFont="1" applyBorder="1" applyAlignment="1" applyProtection="1">
      <alignment horizontal="center" vertical="center"/>
      <protection hidden="1"/>
    </xf>
    <xf numFmtId="0" fontId="23" fillId="0" borderId="57" xfId="0" applyFont="1" applyBorder="1" applyAlignment="1" applyProtection="1">
      <alignment horizontal="center" vertical="center"/>
      <protection hidden="1"/>
    </xf>
    <xf numFmtId="0" fontId="23" fillId="0" borderId="47" xfId="0" applyFont="1" applyBorder="1" applyAlignment="1" applyProtection="1">
      <alignment horizontal="center" vertical="center"/>
      <protection hidden="1"/>
    </xf>
    <xf numFmtId="14" fontId="21" fillId="0" borderId="56" xfId="0" applyNumberFormat="1" applyFont="1" applyBorder="1" applyAlignment="1" applyProtection="1">
      <alignment horizontal="center" vertical="center" wrapText="1"/>
      <protection locked="0"/>
    </xf>
    <xf numFmtId="14" fontId="21" fillId="0" borderId="57" xfId="0" applyNumberFormat="1" applyFont="1" applyBorder="1" applyAlignment="1" applyProtection="1">
      <alignment horizontal="center" vertical="center" wrapText="1"/>
      <protection locked="0"/>
    </xf>
    <xf numFmtId="14" fontId="21" fillId="0" borderId="47" xfId="0" applyNumberFormat="1" applyFont="1" applyBorder="1" applyAlignment="1" applyProtection="1">
      <alignment horizontal="center" vertical="center" wrapText="1"/>
      <protection locked="0"/>
    </xf>
    <xf numFmtId="14" fontId="21" fillId="0" borderId="55" xfId="0" applyNumberFormat="1" applyFont="1" applyBorder="1" applyAlignment="1" applyProtection="1">
      <alignment horizontal="center" vertical="center" wrapText="1"/>
      <protection locked="0"/>
    </xf>
    <xf numFmtId="14" fontId="21" fillId="0" borderId="64" xfId="0" applyNumberFormat="1" applyFont="1" applyBorder="1" applyAlignment="1" applyProtection="1">
      <alignment horizontal="center" vertical="center" wrapText="1"/>
      <protection locked="0"/>
    </xf>
    <xf numFmtId="14" fontId="21" fillId="0" borderId="65" xfId="0" applyNumberFormat="1" applyFont="1" applyBorder="1" applyAlignment="1" applyProtection="1">
      <alignment horizontal="center" vertical="center" wrapText="1"/>
      <protection locked="0"/>
    </xf>
    <xf numFmtId="9" fontId="20" fillId="0" borderId="56" xfId="0" applyNumberFormat="1" applyFont="1" applyBorder="1" applyAlignment="1" applyProtection="1">
      <alignment horizontal="center" vertical="center" wrapText="1"/>
      <protection hidden="1"/>
    </xf>
    <xf numFmtId="9" fontId="20" fillId="0" borderId="57" xfId="0" applyNumberFormat="1" applyFont="1" applyBorder="1" applyAlignment="1" applyProtection="1">
      <alignment horizontal="center" vertical="center" wrapText="1"/>
      <protection hidden="1"/>
    </xf>
    <xf numFmtId="9" fontId="20" fillId="0" borderId="47" xfId="0" applyNumberFormat="1" applyFont="1" applyBorder="1" applyAlignment="1" applyProtection="1">
      <alignment horizontal="center" vertical="center" wrapText="1"/>
      <protection hidden="1"/>
    </xf>
    <xf numFmtId="0" fontId="23" fillId="0" borderId="56" xfId="0" applyFont="1" applyBorder="1" applyAlignment="1" applyProtection="1">
      <alignment horizontal="center" vertical="center" wrapText="1"/>
      <protection hidden="1"/>
    </xf>
    <xf numFmtId="0" fontId="23" fillId="0" borderId="57" xfId="0" applyFont="1" applyBorder="1" applyAlignment="1" applyProtection="1">
      <alignment horizontal="center" vertical="center" wrapText="1"/>
      <protection hidden="1"/>
    </xf>
    <xf numFmtId="0" fontId="23" fillId="0" borderId="47" xfId="0" applyFont="1" applyBorder="1" applyAlignment="1" applyProtection="1">
      <alignment horizontal="center" vertical="center" wrapText="1"/>
      <protection hidden="1"/>
    </xf>
    <xf numFmtId="9" fontId="20" fillId="0" borderId="56" xfId="0" applyNumberFormat="1" applyFont="1" applyBorder="1" applyAlignment="1" applyProtection="1">
      <alignment horizontal="center" vertical="center" wrapText="1"/>
      <protection locked="0"/>
    </xf>
    <xf numFmtId="9" fontId="20" fillId="0" borderId="57" xfId="0" applyNumberFormat="1" applyFont="1" applyBorder="1" applyAlignment="1" applyProtection="1">
      <alignment horizontal="center" vertical="center" wrapText="1"/>
      <protection locked="0"/>
    </xf>
    <xf numFmtId="9" fontId="20" fillId="0" borderId="47" xfId="0" applyNumberFormat="1" applyFont="1" applyBorder="1" applyAlignment="1" applyProtection="1">
      <alignment horizontal="center" vertical="center" wrapText="1"/>
      <protection locked="0"/>
    </xf>
    <xf numFmtId="0" fontId="21" fillId="0" borderId="32" xfId="0" applyFont="1" applyBorder="1" applyAlignment="1" applyProtection="1">
      <alignment horizontal="center" vertical="center" wrapText="1"/>
      <protection locked="0"/>
    </xf>
    <xf numFmtId="0" fontId="20" fillId="3" borderId="24" xfId="0" applyFont="1" applyFill="1" applyBorder="1" applyAlignment="1" applyProtection="1">
      <alignment horizontal="center" vertical="center" wrapText="1"/>
      <protection locked="0"/>
    </xf>
    <xf numFmtId="0" fontId="20" fillId="0" borderId="42" xfId="0" applyFont="1" applyBorder="1" applyAlignment="1" applyProtection="1">
      <alignment horizontal="center" vertical="center" wrapText="1"/>
      <protection locked="0"/>
    </xf>
    <xf numFmtId="0" fontId="51" fillId="0" borderId="24" xfId="0" applyFont="1" applyBorder="1" applyAlignment="1" applyProtection="1">
      <alignment horizontal="center" vertical="center" wrapText="1"/>
      <protection locked="0"/>
    </xf>
    <xf numFmtId="0" fontId="20" fillId="0" borderId="63" xfId="0" applyFont="1" applyBorder="1" applyAlignment="1" applyProtection="1">
      <alignment horizontal="center" vertical="center" wrapText="1"/>
      <protection locked="0"/>
    </xf>
    <xf numFmtId="0" fontId="20" fillId="0" borderId="58" xfId="0" applyFont="1" applyBorder="1" applyAlignment="1" applyProtection="1">
      <alignment horizontal="center" vertical="center" wrapText="1"/>
      <protection locked="0"/>
    </xf>
    <xf numFmtId="0" fontId="25" fillId="13" borderId="18" xfId="0" applyFont="1" applyFill="1" applyBorder="1" applyAlignment="1">
      <alignment horizontal="center" vertical="center"/>
    </xf>
    <xf numFmtId="0" fontId="25" fillId="13" borderId="23" xfId="0" applyFont="1" applyFill="1" applyBorder="1" applyAlignment="1">
      <alignment horizontal="center" vertical="center"/>
    </xf>
    <xf numFmtId="0" fontId="25" fillId="13" borderId="18" xfId="0" applyFont="1" applyFill="1" applyBorder="1" applyAlignment="1">
      <alignment horizontal="center" vertical="center" wrapText="1"/>
    </xf>
    <xf numFmtId="0" fontId="25" fillId="13" borderId="23" xfId="0" applyFont="1" applyFill="1" applyBorder="1" applyAlignment="1">
      <alignment horizontal="center" vertical="center" wrapText="1"/>
    </xf>
    <xf numFmtId="0" fontId="51" fillId="0" borderId="24" xfId="0" applyFont="1" applyBorder="1" applyAlignment="1">
      <alignment horizontal="center" vertical="center" wrapText="1"/>
    </xf>
    <xf numFmtId="0" fontId="25" fillId="13" borderId="27" xfId="0" applyFont="1" applyFill="1" applyBorder="1" applyAlignment="1">
      <alignment horizontal="center" vertical="center"/>
    </xf>
    <xf numFmtId="0" fontId="25" fillId="13" borderId="20" xfId="0" applyFont="1" applyFill="1" applyBorder="1" applyAlignment="1">
      <alignment horizontal="center" vertical="center"/>
    </xf>
    <xf numFmtId="0" fontId="25" fillId="13" borderId="21" xfId="0" applyFont="1" applyFill="1" applyBorder="1" applyAlignment="1">
      <alignment horizontal="center" vertical="center"/>
    </xf>
    <xf numFmtId="0" fontId="25" fillId="13" borderId="29" xfId="0" applyFont="1" applyFill="1" applyBorder="1" applyAlignment="1">
      <alignment horizontal="center" vertical="center" textRotation="90"/>
    </xf>
    <xf numFmtId="0" fontId="25" fillId="13" borderId="30" xfId="0" applyFont="1" applyFill="1" applyBorder="1" applyAlignment="1">
      <alignment horizontal="center" vertical="center" textRotation="90"/>
    </xf>
    <xf numFmtId="0" fontId="25" fillId="14" borderId="18" xfId="0" applyFont="1" applyFill="1" applyBorder="1" applyAlignment="1">
      <alignment horizontal="center" vertical="center" wrapText="1"/>
    </xf>
    <xf numFmtId="0" fontId="25" fillId="14" borderId="23" xfId="0" applyFont="1" applyFill="1" applyBorder="1" applyAlignment="1">
      <alignment horizontal="center" vertical="center" wrapText="1"/>
    </xf>
    <xf numFmtId="0" fontId="25" fillId="14" borderId="18" xfId="0" applyFont="1" applyFill="1" applyBorder="1" applyAlignment="1">
      <alignment horizontal="center" vertical="center"/>
    </xf>
    <xf numFmtId="0" fontId="25" fillId="14" borderId="23" xfId="0" applyFont="1" applyFill="1" applyBorder="1" applyAlignment="1">
      <alignment horizontal="center" vertical="center"/>
    </xf>
    <xf numFmtId="0" fontId="25" fillId="13" borderId="40" xfId="0" applyFont="1" applyFill="1" applyBorder="1" applyAlignment="1">
      <alignment horizontal="center" vertical="center" wrapText="1"/>
    </xf>
    <xf numFmtId="0" fontId="25" fillId="13" borderId="41" xfId="0" applyFont="1" applyFill="1" applyBorder="1" applyAlignment="1">
      <alignment horizontal="center" vertical="center" wrapText="1"/>
    </xf>
    <xf numFmtId="0" fontId="25" fillId="14" borderId="18" xfId="0" applyFont="1" applyFill="1" applyBorder="1" applyAlignment="1">
      <alignment horizontal="center" vertical="center" textRotation="90" wrapText="1"/>
    </xf>
    <xf numFmtId="0" fontId="25" fillId="14" borderId="23" xfId="0" applyFont="1" applyFill="1" applyBorder="1" applyAlignment="1">
      <alignment horizontal="center" vertical="center" textRotation="90" wrapText="1"/>
    </xf>
    <xf numFmtId="0" fontId="25" fillId="13" borderId="18" xfId="0" applyFont="1" applyFill="1" applyBorder="1" applyAlignment="1">
      <alignment horizontal="center" vertical="center" textRotation="90" wrapText="1"/>
    </xf>
    <xf numFmtId="0" fontId="25" fillId="13" borderId="23" xfId="0" applyFont="1" applyFill="1" applyBorder="1" applyAlignment="1">
      <alignment horizontal="center" vertical="center" textRotation="90" wrapText="1"/>
    </xf>
    <xf numFmtId="0" fontId="21" fillId="0" borderId="24" xfId="0" applyFont="1" applyBorder="1" applyAlignment="1">
      <alignment horizontal="center" vertical="center" wrapText="1"/>
    </xf>
    <xf numFmtId="0" fontId="51" fillId="0" borderId="42" xfId="0" applyFont="1" applyBorder="1" applyAlignment="1">
      <alignment horizontal="center" vertical="center" wrapText="1"/>
    </xf>
    <xf numFmtId="0" fontId="25" fillId="14" borderId="19" xfId="0" applyFont="1" applyFill="1" applyBorder="1" applyAlignment="1">
      <alignment horizontal="center" vertical="center"/>
    </xf>
    <xf numFmtId="0" fontId="25" fillId="14" borderId="20" xfId="0" applyFont="1" applyFill="1" applyBorder="1" applyAlignment="1">
      <alignment horizontal="center" vertical="center"/>
    </xf>
    <xf numFmtId="0" fontId="25" fillId="14" borderId="21" xfId="0" applyFont="1" applyFill="1" applyBorder="1" applyAlignment="1">
      <alignment horizontal="center" vertical="center"/>
    </xf>
    <xf numFmtId="0" fontId="25" fillId="13" borderId="22" xfId="0" applyFont="1" applyFill="1" applyBorder="1" applyAlignment="1">
      <alignment horizontal="center" vertical="center"/>
    </xf>
    <xf numFmtId="0" fontId="25" fillId="14" borderId="22" xfId="0" applyFont="1" applyFill="1" applyBorder="1" applyAlignment="1">
      <alignment horizontal="center" vertical="center"/>
    </xf>
    <xf numFmtId="0" fontId="25" fillId="13" borderId="19" xfId="0" applyFont="1" applyFill="1" applyBorder="1" applyAlignment="1">
      <alignment horizontal="center" vertical="center"/>
    </xf>
    <xf numFmtId="0" fontId="25" fillId="14" borderId="43" xfId="0" applyFont="1" applyFill="1" applyBorder="1" applyAlignment="1">
      <alignment horizontal="center" vertical="center"/>
    </xf>
    <xf numFmtId="0" fontId="25" fillId="14" borderId="44" xfId="0" applyFont="1" applyFill="1" applyBorder="1" applyAlignment="1">
      <alignment horizontal="center" vertical="center"/>
    </xf>
    <xf numFmtId="0" fontId="25" fillId="14" borderId="45" xfId="0" applyFont="1" applyFill="1" applyBorder="1" applyAlignment="1">
      <alignment horizontal="center" vertical="center"/>
    </xf>
    <xf numFmtId="0" fontId="25" fillId="14" borderId="29" xfId="0" applyFont="1" applyFill="1" applyBorder="1" applyAlignment="1">
      <alignment horizontal="center" vertical="center" wrapText="1"/>
    </xf>
    <xf numFmtId="0" fontId="25" fillId="14" borderId="30" xfId="0" applyFont="1" applyFill="1" applyBorder="1" applyAlignment="1">
      <alignment horizontal="center" vertical="center" wrapText="1"/>
    </xf>
    <xf numFmtId="0" fontId="25" fillId="14" borderId="28" xfId="0" applyFont="1" applyFill="1" applyBorder="1" applyAlignment="1">
      <alignment horizontal="center" vertical="center" wrapText="1"/>
    </xf>
    <xf numFmtId="0" fontId="25" fillId="14" borderId="31" xfId="0" applyFont="1" applyFill="1" applyBorder="1" applyAlignment="1">
      <alignment horizontal="center" vertical="center" wrapText="1"/>
    </xf>
    <xf numFmtId="0" fontId="22" fillId="15" borderId="37" xfId="0" applyFont="1" applyFill="1" applyBorder="1" applyAlignment="1">
      <alignment horizontal="center" vertical="center" wrapText="1"/>
    </xf>
    <xf numFmtId="0" fontId="22" fillId="15" borderId="38" xfId="0" applyFont="1" applyFill="1" applyBorder="1" applyAlignment="1">
      <alignment horizontal="center" vertical="center" wrapText="1"/>
    </xf>
    <xf numFmtId="0" fontId="20" fillId="0" borderId="25" xfId="0" applyFont="1" applyBorder="1" applyAlignment="1">
      <alignment horizontal="center" vertical="center"/>
    </xf>
    <xf numFmtId="0" fontId="20" fillId="0" borderId="26" xfId="0" applyFont="1" applyBorder="1" applyAlignment="1">
      <alignment horizontal="center" vertical="center"/>
    </xf>
    <xf numFmtId="0" fontId="20" fillId="0" borderId="62" xfId="0" applyFont="1" applyBorder="1" applyAlignment="1">
      <alignment horizontal="center" vertical="center"/>
    </xf>
    <xf numFmtId="0" fontId="12" fillId="0" borderId="0" xfId="0" applyFont="1" applyAlignment="1">
      <alignment horizontal="center" vertical="center" wrapText="1"/>
    </xf>
    <xf numFmtId="0" fontId="8" fillId="5" borderId="4" xfId="0" applyFont="1" applyFill="1" applyBorder="1" applyAlignment="1" applyProtection="1">
      <alignment horizontal="center" wrapText="1" readingOrder="1"/>
      <protection hidden="1"/>
    </xf>
    <xf numFmtId="0" fontId="8" fillId="5" borderId="0" xfId="0" applyFont="1" applyFill="1" applyAlignment="1" applyProtection="1">
      <alignment horizontal="center" wrapText="1" readingOrder="1"/>
      <protection hidden="1"/>
    </xf>
    <xf numFmtId="0" fontId="8" fillId="5" borderId="5" xfId="0" applyFont="1" applyFill="1" applyBorder="1" applyAlignment="1" applyProtection="1">
      <alignment horizontal="center" wrapText="1" readingOrder="1"/>
      <protection hidden="1"/>
    </xf>
    <xf numFmtId="0" fontId="8" fillId="5" borderId="6" xfId="0" applyFont="1" applyFill="1" applyBorder="1" applyAlignment="1" applyProtection="1">
      <alignment horizontal="center" wrapText="1" readingOrder="1"/>
      <protection hidden="1"/>
    </xf>
    <xf numFmtId="0" fontId="8" fillId="5" borderId="8" xfId="0" applyFont="1" applyFill="1" applyBorder="1" applyAlignment="1" applyProtection="1">
      <alignment horizontal="center" wrapText="1" readingOrder="1"/>
      <protection hidden="1"/>
    </xf>
    <xf numFmtId="0" fontId="8" fillId="5" borderId="7" xfId="0" applyFont="1" applyFill="1" applyBorder="1" applyAlignment="1" applyProtection="1">
      <alignment horizontal="center" wrapText="1" readingOrder="1"/>
      <protection hidden="1"/>
    </xf>
    <xf numFmtId="0" fontId="8" fillId="5" borderId="2" xfId="0" applyFont="1" applyFill="1" applyBorder="1" applyAlignment="1" applyProtection="1">
      <alignment horizontal="center" wrapText="1" readingOrder="1"/>
      <protection hidden="1"/>
    </xf>
    <xf numFmtId="0" fontId="8" fillId="5" borderId="9" xfId="0" applyFont="1" applyFill="1" applyBorder="1" applyAlignment="1" applyProtection="1">
      <alignment horizontal="center" wrapText="1" readingOrder="1"/>
      <protection hidden="1"/>
    </xf>
    <xf numFmtId="0" fontId="8" fillId="5" borderId="3" xfId="0" applyFont="1" applyFill="1" applyBorder="1" applyAlignment="1" applyProtection="1">
      <alignment horizontal="center" wrapText="1" readingOrder="1"/>
      <protection hidden="1"/>
    </xf>
    <xf numFmtId="0" fontId="8" fillId="12" borderId="4" xfId="0" applyFont="1" applyFill="1" applyBorder="1" applyAlignment="1" applyProtection="1">
      <alignment horizontal="center" wrapText="1" readingOrder="1"/>
      <protection hidden="1"/>
    </xf>
    <xf numFmtId="0" fontId="8" fillId="12" borderId="0" xfId="0" applyFont="1" applyFill="1" applyAlignment="1" applyProtection="1">
      <alignment horizontal="center" wrapText="1" readingOrder="1"/>
      <protection hidden="1"/>
    </xf>
    <xf numFmtId="0" fontId="8" fillId="12" borderId="5" xfId="0" applyFont="1" applyFill="1" applyBorder="1" applyAlignment="1" applyProtection="1">
      <alignment horizontal="center" wrapText="1" readingOrder="1"/>
      <protection hidden="1"/>
    </xf>
    <xf numFmtId="0" fontId="8" fillId="12" borderId="6" xfId="0" applyFont="1" applyFill="1" applyBorder="1" applyAlignment="1" applyProtection="1">
      <alignment horizontal="center" wrapText="1" readingOrder="1"/>
      <protection hidden="1"/>
    </xf>
    <xf numFmtId="0" fontId="8" fillId="12" borderId="8" xfId="0" applyFont="1" applyFill="1" applyBorder="1" applyAlignment="1" applyProtection="1">
      <alignment horizontal="center" wrapText="1" readingOrder="1"/>
      <protection hidden="1"/>
    </xf>
    <xf numFmtId="0" fontId="8" fillId="12" borderId="7" xfId="0" applyFont="1" applyFill="1" applyBorder="1" applyAlignment="1" applyProtection="1">
      <alignment horizontal="center" wrapText="1" readingOrder="1"/>
      <protection hidden="1"/>
    </xf>
    <xf numFmtId="0" fontId="8" fillId="12" borderId="2" xfId="0" applyFont="1" applyFill="1" applyBorder="1" applyAlignment="1" applyProtection="1">
      <alignment horizontal="center" wrapText="1" readingOrder="1"/>
      <protection hidden="1"/>
    </xf>
    <xf numFmtId="0" fontId="8" fillId="12" borderId="9" xfId="0" applyFont="1" applyFill="1" applyBorder="1" applyAlignment="1" applyProtection="1">
      <alignment horizontal="center" wrapText="1" readingOrder="1"/>
      <protection hidden="1"/>
    </xf>
    <xf numFmtId="0" fontId="8" fillId="12" borderId="3" xfId="0" applyFont="1" applyFill="1" applyBorder="1" applyAlignment="1" applyProtection="1">
      <alignment horizontal="center" wrapText="1" readingOrder="1"/>
      <protection hidden="1"/>
    </xf>
    <xf numFmtId="0" fontId="8" fillId="11" borderId="4" xfId="0" applyFont="1" applyFill="1" applyBorder="1" applyAlignment="1" applyProtection="1">
      <alignment horizontal="center" wrapText="1" readingOrder="1"/>
      <protection hidden="1"/>
    </xf>
    <xf numFmtId="0" fontId="8" fillId="11" borderId="0" xfId="0" applyFont="1" applyFill="1" applyAlignment="1" applyProtection="1">
      <alignment horizontal="center" wrapText="1" readingOrder="1"/>
      <protection hidden="1"/>
    </xf>
    <xf numFmtId="0" fontId="8" fillId="11" borderId="5" xfId="0" applyFont="1" applyFill="1" applyBorder="1" applyAlignment="1" applyProtection="1">
      <alignment horizontal="center" wrapText="1" readingOrder="1"/>
      <protection hidden="1"/>
    </xf>
    <xf numFmtId="0" fontId="8" fillId="11" borderId="6" xfId="0" applyFont="1" applyFill="1" applyBorder="1" applyAlignment="1" applyProtection="1">
      <alignment horizontal="center" wrapText="1" readingOrder="1"/>
      <protection hidden="1"/>
    </xf>
    <xf numFmtId="0" fontId="8" fillId="11" borderId="8" xfId="0" applyFont="1" applyFill="1" applyBorder="1" applyAlignment="1" applyProtection="1">
      <alignment horizontal="center" wrapText="1" readingOrder="1"/>
      <protection hidden="1"/>
    </xf>
    <xf numFmtId="0" fontId="8" fillId="11" borderId="7" xfId="0" applyFont="1" applyFill="1" applyBorder="1" applyAlignment="1" applyProtection="1">
      <alignment horizontal="center" wrapText="1" readingOrder="1"/>
      <protection hidden="1"/>
    </xf>
    <xf numFmtId="0" fontId="8" fillId="11" borderId="2" xfId="0" applyFont="1" applyFill="1" applyBorder="1" applyAlignment="1" applyProtection="1">
      <alignment horizontal="center" wrapText="1" readingOrder="1"/>
      <protection hidden="1"/>
    </xf>
    <xf numFmtId="0" fontId="8" fillId="11" borderId="9" xfId="0" applyFont="1" applyFill="1" applyBorder="1" applyAlignment="1" applyProtection="1">
      <alignment horizontal="center" wrapText="1" readingOrder="1"/>
      <protection hidden="1"/>
    </xf>
    <xf numFmtId="0" fontId="8" fillId="11" borderId="3" xfId="0" applyFont="1" applyFill="1" applyBorder="1" applyAlignment="1" applyProtection="1">
      <alignment horizontal="center" wrapText="1" readingOrder="1"/>
      <protection hidden="1"/>
    </xf>
    <xf numFmtId="0" fontId="8" fillId="10" borderId="4" xfId="0" applyFont="1" applyFill="1" applyBorder="1" applyAlignment="1" applyProtection="1">
      <alignment horizontal="center" vertical="center" wrapText="1" readingOrder="1"/>
      <protection hidden="1"/>
    </xf>
    <xf numFmtId="0" fontId="8" fillId="10" borderId="0" xfId="0" applyFont="1" applyFill="1" applyAlignment="1" applyProtection="1">
      <alignment horizontal="center" vertical="center" wrapText="1" readingOrder="1"/>
      <protection hidden="1"/>
    </xf>
    <xf numFmtId="0" fontId="8" fillId="10" borderId="5" xfId="0" applyFont="1" applyFill="1" applyBorder="1" applyAlignment="1" applyProtection="1">
      <alignment horizontal="center" vertical="center" wrapText="1" readingOrder="1"/>
      <protection hidden="1"/>
    </xf>
    <xf numFmtId="0" fontId="8" fillId="10" borderId="6" xfId="0" applyFont="1" applyFill="1" applyBorder="1" applyAlignment="1" applyProtection="1">
      <alignment horizontal="center" vertical="center" wrapText="1" readingOrder="1"/>
      <protection hidden="1"/>
    </xf>
    <xf numFmtId="0" fontId="8" fillId="10" borderId="8" xfId="0" applyFont="1" applyFill="1" applyBorder="1" applyAlignment="1" applyProtection="1">
      <alignment horizontal="center" vertical="center" wrapText="1" readingOrder="1"/>
      <protection hidden="1"/>
    </xf>
    <xf numFmtId="0" fontId="8" fillId="10" borderId="7" xfId="0" applyFont="1" applyFill="1" applyBorder="1" applyAlignment="1" applyProtection="1">
      <alignment horizontal="center" vertical="center" wrapText="1" readingOrder="1"/>
      <protection hidden="1"/>
    </xf>
    <xf numFmtId="0" fontId="8" fillId="10" borderId="2" xfId="0" applyFont="1" applyFill="1" applyBorder="1" applyAlignment="1" applyProtection="1">
      <alignment horizontal="center" vertical="center" wrapText="1" readingOrder="1"/>
      <protection hidden="1"/>
    </xf>
    <xf numFmtId="0" fontId="8" fillId="10" borderId="9" xfId="0" applyFont="1" applyFill="1" applyBorder="1" applyAlignment="1" applyProtection="1">
      <alignment horizontal="center" vertical="center" wrapText="1" readingOrder="1"/>
      <protection hidden="1"/>
    </xf>
    <xf numFmtId="0" fontId="8" fillId="10" borderId="3" xfId="0" applyFont="1" applyFill="1" applyBorder="1" applyAlignment="1" applyProtection="1">
      <alignment horizontal="center" vertical="center" wrapText="1" readingOrder="1"/>
      <protection hidden="1"/>
    </xf>
    <xf numFmtId="0" fontId="6" fillId="9" borderId="0" xfId="0" applyFont="1" applyFill="1" applyAlignment="1">
      <alignment horizontal="center" vertical="center" wrapText="1" readingOrder="1"/>
    </xf>
    <xf numFmtId="0" fontId="5" fillId="0" borderId="2" xfId="0" applyFont="1" applyBorder="1" applyAlignment="1">
      <alignment horizontal="center" vertical="center" wrapText="1"/>
    </xf>
    <xf numFmtId="0" fontId="5" fillId="0" borderId="9"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wrapText="1"/>
    </xf>
    <xf numFmtId="0" fontId="6" fillId="9" borderId="0" xfId="0" applyFont="1" applyFill="1" applyAlignment="1">
      <alignment horizontal="center" vertical="center" textRotation="90" wrapText="1" readingOrder="1"/>
    </xf>
    <xf numFmtId="0" fontId="6" fillId="9" borderId="5" xfId="0" applyFont="1" applyFill="1" applyBorder="1" applyAlignment="1">
      <alignment horizontal="center" vertical="center" textRotation="90" wrapText="1" readingOrder="1"/>
    </xf>
    <xf numFmtId="0" fontId="9" fillId="11" borderId="10" xfId="0" applyFont="1" applyFill="1" applyBorder="1" applyAlignment="1">
      <alignment horizontal="center" vertical="center" wrapText="1" readingOrder="1"/>
    </xf>
    <xf numFmtId="0" fontId="9" fillId="11" borderId="11" xfId="0" applyFont="1" applyFill="1" applyBorder="1" applyAlignment="1">
      <alignment horizontal="center" vertical="center" wrapText="1" readingOrder="1"/>
    </xf>
    <xf numFmtId="0" fontId="9" fillId="11" borderId="12" xfId="0" applyFont="1" applyFill="1" applyBorder="1" applyAlignment="1">
      <alignment horizontal="center" vertical="center" wrapText="1" readingOrder="1"/>
    </xf>
    <xf numFmtId="0" fontId="9" fillId="11" borderId="13" xfId="0" applyFont="1" applyFill="1" applyBorder="1" applyAlignment="1">
      <alignment horizontal="center" vertical="center" wrapText="1" readingOrder="1"/>
    </xf>
    <xf numFmtId="0" fontId="9" fillId="11" borderId="0" xfId="0" applyFont="1" applyFill="1" applyAlignment="1">
      <alignment horizontal="center" vertical="center" wrapText="1" readingOrder="1"/>
    </xf>
    <xf numFmtId="0" fontId="9" fillId="11" borderId="14" xfId="0" applyFont="1" applyFill="1" applyBorder="1" applyAlignment="1">
      <alignment horizontal="center" vertical="center" wrapText="1" readingOrder="1"/>
    </xf>
    <xf numFmtId="0" fontId="9" fillId="11" borderId="15" xfId="0" applyFont="1" applyFill="1" applyBorder="1" applyAlignment="1">
      <alignment horizontal="center" vertical="center" wrapText="1" readingOrder="1"/>
    </xf>
    <xf numFmtId="0" fontId="9" fillId="11" borderId="16" xfId="0" applyFont="1" applyFill="1" applyBorder="1" applyAlignment="1">
      <alignment horizontal="center" vertical="center" wrapText="1" readingOrder="1"/>
    </xf>
    <xf numFmtId="0" fontId="9" fillId="11" borderId="17" xfId="0" applyFont="1" applyFill="1" applyBorder="1" applyAlignment="1">
      <alignment horizontal="center" vertical="center" wrapText="1" readingOrder="1"/>
    </xf>
    <xf numFmtId="0" fontId="9" fillId="10" borderId="10" xfId="0" applyFont="1" applyFill="1" applyBorder="1" applyAlignment="1">
      <alignment horizontal="center" vertical="center" wrapText="1" readingOrder="1"/>
    </xf>
    <xf numFmtId="0" fontId="9" fillId="10" borderId="11" xfId="0" applyFont="1" applyFill="1" applyBorder="1" applyAlignment="1">
      <alignment horizontal="center" vertical="center" wrapText="1" readingOrder="1"/>
    </xf>
    <xf numFmtId="0" fontId="9" fillId="10" borderId="12" xfId="0" applyFont="1" applyFill="1" applyBorder="1" applyAlignment="1">
      <alignment horizontal="center" vertical="center" wrapText="1" readingOrder="1"/>
    </xf>
    <xf numFmtId="0" fontId="9" fillId="10" borderId="13" xfId="0" applyFont="1" applyFill="1" applyBorder="1" applyAlignment="1">
      <alignment horizontal="center" vertical="center" wrapText="1" readingOrder="1"/>
    </xf>
    <xf numFmtId="0" fontId="9" fillId="10" borderId="0" xfId="0" applyFont="1" applyFill="1" applyAlignment="1">
      <alignment horizontal="center" vertical="center" wrapText="1" readingOrder="1"/>
    </xf>
    <xf numFmtId="0" fontId="9" fillId="10" borderId="14" xfId="0" applyFont="1" applyFill="1" applyBorder="1" applyAlignment="1">
      <alignment horizontal="center" vertical="center" wrapText="1" readingOrder="1"/>
    </xf>
    <xf numFmtId="0" fontId="9" fillId="10" borderId="15" xfId="0" applyFont="1" applyFill="1" applyBorder="1" applyAlignment="1">
      <alignment horizontal="center" vertical="center" wrapText="1" readingOrder="1"/>
    </xf>
    <xf numFmtId="0" fontId="9" fillId="10" borderId="16" xfId="0" applyFont="1" applyFill="1" applyBorder="1" applyAlignment="1">
      <alignment horizontal="center" vertical="center" wrapText="1" readingOrder="1"/>
    </xf>
    <xf numFmtId="0" fontId="9" fillId="10" borderId="17" xfId="0" applyFont="1" applyFill="1" applyBorder="1" applyAlignment="1">
      <alignment horizontal="center" vertical="center" wrapText="1" readingOrder="1"/>
    </xf>
    <xf numFmtId="0" fontId="9" fillId="12" borderId="10" xfId="0" applyFont="1" applyFill="1" applyBorder="1" applyAlignment="1">
      <alignment horizontal="center" vertical="center" wrapText="1" readingOrder="1"/>
    </xf>
    <xf numFmtId="0" fontId="9" fillId="12" borderId="11" xfId="0" applyFont="1" applyFill="1" applyBorder="1" applyAlignment="1">
      <alignment horizontal="center" vertical="center" wrapText="1" readingOrder="1"/>
    </xf>
    <xf numFmtId="0" fontId="9" fillId="12" borderId="12" xfId="0" applyFont="1" applyFill="1" applyBorder="1" applyAlignment="1">
      <alignment horizontal="center" vertical="center" wrapText="1" readingOrder="1"/>
    </xf>
    <xf numFmtId="0" fontId="9" fillId="12" borderId="13" xfId="0" applyFont="1" applyFill="1" applyBorder="1" applyAlignment="1">
      <alignment horizontal="center" vertical="center" wrapText="1" readingOrder="1"/>
    </xf>
    <xf numFmtId="0" fontId="9" fillId="12" borderId="0" xfId="0" applyFont="1" applyFill="1" applyAlignment="1">
      <alignment horizontal="center" vertical="center" wrapText="1" readingOrder="1"/>
    </xf>
    <xf numFmtId="0" fontId="9" fillId="12" borderId="14" xfId="0" applyFont="1" applyFill="1" applyBorder="1" applyAlignment="1">
      <alignment horizontal="center" vertical="center" wrapText="1" readingOrder="1"/>
    </xf>
    <xf numFmtId="0" fontId="9" fillId="12" borderId="15" xfId="0" applyFont="1" applyFill="1" applyBorder="1" applyAlignment="1">
      <alignment horizontal="center" vertical="center" wrapText="1" readingOrder="1"/>
    </xf>
    <xf numFmtId="0" fontId="9" fillId="12" borderId="16" xfId="0" applyFont="1" applyFill="1" applyBorder="1" applyAlignment="1">
      <alignment horizontal="center" vertical="center" wrapText="1" readingOrder="1"/>
    </xf>
    <xf numFmtId="0" fontId="9" fillId="12" borderId="17" xfId="0" applyFont="1" applyFill="1" applyBorder="1" applyAlignment="1">
      <alignment horizontal="center" vertical="center" wrapText="1" readingOrder="1"/>
    </xf>
    <xf numFmtId="0" fontId="9" fillId="5" borderId="10" xfId="0" applyFont="1" applyFill="1" applyBorder="1" applyAlignment="1">
      <alignment horizontal="center" vertical="center" wrapText="1" readingOrder="1"/>
    </xf>
    <xf numFmtId="0" fontId="9" fillId="5" borderId="11" xfId="0" applyFont="1" applyFill="1" applyBorder="1" applyAlignment="1">
      <alignment horizontal="center" vertical="center" wrapText="1" readingOrder="1"/>
    </xf>
    <xf numFmtId="0" fontId="9" fillId="5" borderId="12" xfId="0" applyFont="1" applyFill="1" applyBorder="1" applyAlignment="1">
      <alignment horizontal="center" vertical="center" wrapText="1" readingOrder="1"/>
    </xf>
    <xf numFmtId="0" fontId="9" fillId="5" borderId="13" xfId="0" applyFont="1" applyFill="1" applyBorder="1" applyAlignment="1">
      <alignment horizontal="center" vertical="center" wrapText="1" readingOrder="1"/>
    </xf>
    <xf numFmtId="0" fontId="9" fillId="5" borderId="0" xfId="0" applyFont="1" applyFill="1" applyAlignment="1">
      <alignment horizontal="center" vertical="center" wrapText="1" readingOrder="1"/>
    </xf>
    <xf numFmtId="0" fontId="9" fillId="5" borderId="14" xfId="0" applyFont="1" applyFill="1" applyBorder="1" applyAlignment="1">
      <alignment horizontal="center" vertical="center" wrapText="1" readingOrder="1"/>
    </xf>
    <xf numFmtId="0" fontId="9" fillId="5" borderId="15" xfId="0" applyFont="1" applyFill="1" applyBorder="1" applyAlignment="1">
      <alignment horizontal="center" vertical="center" wrapText="1" readingOrder="1"/>
    </xf>
    <xf numFmtId="0" fontId="9" fillId="5" borderId="16" xfId="0" applyFont="1" applyFill="1" applyBorder="1" applyAlignment="1">
      <alignment horizontal="center" vertical="center" wrapText="1" readingOrder="1"/>
    </xf>
    <xf numFmtId="0" fontId="9" fillId="5" borderId="17" xfId="0" applyFont="1" applyFill="1" applyBorder="1" applyAlignment="1">
      <alignment horizontal="center" vertical="center" wrapText="1" readingOrder="1"/>
    </xf>
    <xf numFmtId="0" fontId="17" fillId="0" borderId="2" xfId="0" applyFont="1" applyBorder="1" applyAlignment="1">
      <alignment horizontal="center" vertical="center" wrapText="1"/>
    </xf>
    <xf numFmtId="0" fontId="17" fillId="0" borderId="9" xfId="0" applyFont="1" applyBorder="1" applyAlignment="1">
      <alignment horizontal="center" vertical="center"/>
    </xf>
    <xf numFmtId="0" fontId="17" fillId="0" borderId="3" xfId="0" applyFont="1" applyBorder="1" applyAlignment="1">
      <alignment horizontal="center" vertical="center"/>
    </xf>
    <xf numFmtId="0" fontId="17" fillId="0" borderId="4" xfId="0" applyFont="1" applyBorder="1" applyAlignment="1">
      <alignment horizontal="center" vertical="center"/>
    </xf>
    <xf numFmtId="0" fontId="17" fillId="0" borderId="0" xfId="0" applyFont="1" applyAlignment="1">
      <alignment horizontal="center" vertical="center"/>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17" fillId="0" borderId="8" xfId="0" applyFont="1" applyBorder="1" applyAlignment="1">
      <alignment horizontal="center" vertical="center"/>
    </xf>
    <xf numFmtId="0" fontId="17" fillId="0" borderId="7" xfId="0" applyFont="1" applyBorder="1" applyAlignment="1">
      <alignment horizontal="center" vertical="center"/>
    </xf>
    <xf numFmtId="0" fontId="17" fillId="0" borderId="9" xfId="0" applyFont="1" applyBorder="1" applyAlignment="1">
      <alignment horizontal="center" vertical="center" wrapText="1"/>
    </xf>
    <xf numFmtId="0" fontId="16" fillId="10" borderId="10" xfId="0" applyFont="1" applyFill="1" applyBorder="1" applyAlignment="1">
      <alignment horizontal="center" vertical="center" wrapText="1" readingOrder="1"/>
    </xf>
    <xf numFmtId="0" fontId="16" fillId="10" borderId="11" xfId="0" applyFont="1" applyFill="1" applyBorder="1" applyAlignment="1">
      <alignment horizontal="center" vertical="center" wrapText="1" readingOrder="1"/>
    </xf>
    <xf numFmtId="0" fontId="16" fillId="10" borderId="12" xfId="0" applyFont="1" applyFill="1" applyBorder="1" applyAlignment="1">
      <alignment horizontal="center" vertical="center" wrapText="1" readingOrder="1"/>
    </xf>
    <xf numFmtId="0" fontId="16" fillId="10" borderId="13" xfId="0" applyFont="1" applyFill="1" applyBorder="1" applyAlignment="1">
      <alignment horizontal="center" vertical="center" wrapText="1" readingOrder="1"/>
    </xf>
    <xf numFmtId="0" fontId="16" fillId="10" borderId="0" xfId="0" applyFont="1" applyFill="1" applyAlignment="1">
      <alignment horizontal="center" vertical="center" wrapText="1" readingOrder="1"/>
    </xf>
    <xf numFmtId="0" fontId="16" fillId="10" borderId="14" xfId="0" applyFont="1" applyFill="1" applyBorder="1" applyAlignment="1">
      <alignment horizontal="center" vertical="center" wrapText="1" readingOrder="1"/>
    </xf>
    <xf numFmtId="0" fontId="16" fillId="10" borderId="15" xfId="0" applyFont="1" applyFill="1" applyBorder="1" applyAlignment="1">
      <alignment horizontal="center" vertical="center" wrapText="1" readingOrder="1"/>
    </xf>
    <xf numFmtId="0" fontId="16" fillId="10" borderId="16" xfId="0" applyFont="1" applyFill="1" applyBorder="1" applyAlignment="1">
      <alignment horizontal="center" vertical="center" wrapText="1" readingOrder="1"/>
    </xf>
    <xf numFmtId="0" fontId="16" fillId="10" borderId="17" xfId="0" applyFont="1" applyFill="1" applyBorder="1" applyAlignment="1">
      <alignment horizontal="center" vertical="center" wrapText="1" readingOrder="1"/>
    </xf>
    <xf numFmtId="0" fontId="17" fillId="0" borderId="4" xfId="0" applyFont="1" applyBorder="1" applyAlignment="1">
      <alignment horizontal="center" vertical="center" wrapText="1"/>
    </xf>
    <xf numFmtId="0" fontId="16" fillId="11" borderId="10" xfId="0" applyFont="1" applyFill="1" applyBorder="1" applyAlignment="1">
      <alignment horizontal="center" vertical="center" wrapText="1" readingOrder="1"/>
    </xf>
    <xf numFmtId="0" fontId="16" fillId="11" borderId="11" xfId="0" applyFont="1" applyFill="1" applyBorder="1" applyAlignment="1">
      <alignment horizontal="center" vertical="center" wrapText="1" readingOrder="1"/>
    </xf>
    <xf numFmtId="0" fontId="16" fillId="11" borderId="12" xfId="0" applyFont="1" applyFill="1" applyBorder="1" applyAlignment="1">
      <alignment horizontal="center" vertical="center" wrapText="1" readingOrder="1"/>
    </xf>
    <xf numFmtId="0" fontId="16" fillId="11" borderId="13" xfId="0" applyFont="1" applyFill="1" applyBorder="1" applyAlignment="1">
      <alignment horizontal="center" vertical="center" wrapText="1" readingOrder="1"/>
    </xf>
    <xf numFmtId="0" fontId="16" fillId="11" borderId="0" xfId="0" applyFont="1" applyFill="1" applyAlignment="1">
      <alignment horizontal="center" vertical="center" wrapText="1" readingOrder="1"/>
    </xf>
    <xf numFmtId="0" fontId="16" fillId="11" borderId="14" xfId="0" applyFont="1" applyFill="1" applyBorder="1" applyAlignment="1">
      <alignment horizontal="center" vertical="center" wrapText="1" readingOrder="1"/>
    </xf>
    <xf numFmtId="0" fontId="16" fillId="11" borderId="15" xfId="0" applyFont="1" applyFill="1" applyBorder="1" applyAlignment="1">
      <alignment horizontal="center" vertical="center" wrapText="1" readingOrder="1"/>
    </xf>
    <xf numFmtId="0" fontId="16" fillId="11" borderId="16" xfId="0" applyFont="1" applyFill="1" applyBorder="1" applyAlignment="1">
      <alignment horizontal="center" vertical="center" wrapText="1" readingOrder="1"/>
    </xf>
    <xf numFmtId="0" fontId="16" fillId="11" borderId="17" xfId="0" applyFont="1" applyFill="1" applyBorder="1" applyAlignment="1">
      <alignment horizontal="center" vertical="center" wrapText="1" readingOrder="1"/>
    </xf>
    <xf numFmtId="0" fontId="15" fillId="0" borderId="0" xfId="0" applyFont="1" applyAlignment="1">
      <alignment horizontal="center" vertical="center" wrapText="1"/>
    </xf>
    <xf numFmtId="0" fontId="10" fillId="0" borderId="0" xfId="0" applyFont="1" applyAlignment="1">
      <alignment horizontal="center" vertical="center" wrapText="1"/>
    </xf>
    <xf numFmtId="0" fontId="16" fillId="5" borderId="10" xfId="0" applyFont="1" applyFill="1" applyBorder="1" applyAlignment="1">
      <alignment horizontal="center" vertical="center" wrapText="1" readingOrder="1"/>
    </xf>
    <xf numFmtId="0" fontId="16" fillId="5" borderId="11" xfId="0" applyFont="1" applyFill="1" applyBorder="1" applyAlignment="1">
      <alignment horizontal="center" vertical="center" wrapText="1" readingOrder="1"/>
    </xf>
    <xf numFmtId="0" fontId="16" fillId="5" borderId="12" xfId="0" applyFont="1" applyFill="1" applyBorder="1" applyAlignment="1">
      <alignment horizontal="center" vertical="center" wrapText="1" readingOrder="1"/>
    </xf>
    <xf numFmtId="0" fontId="16" fillId="5" borderId="13" xfId="0" applyFont="1" applyFill="1" applyBorder="1" applyAlignment="1">
      <alignment horizontal="center" vertical="center" wrapText="1" readingOrder="1"/>
    </xf>
    <xf numFmtId="0" fontId="16" fillId="5" borderId="0" xfId="0" applyFont="1" applyFill="1" applyAlignment="1">
      <alignment horizontal="center" vertical="center" wrapText="1" readingOrder="1"/>
    </xf>
    <xf numFmtId="0" fontId="16" fillId="5" borderId="14" xfId="0" applyFont="1" applyFill="1" applyBorder="1" applyAlignment="1">
      <alignment horizontal="center" vertical="center" wrapText="1" readingOrder="1"/>
    </xf>
    <xf numFmtId="0" fontId="16" fillId="5" borderId="15" xfId="0" applyFont="1" applyFill="1" applyBorder="1" applyAlignment="1">
      <alignment horizontal="center" vertical="center" wrapText="1" readingOrder="1"/>
    </xf>
    <xf numFmtId="0" fontId="16" fillId="5" borderId="16" xfId="0" applyFont="1" applyFill="1" applyBorder="1" applyAlignment="1">
      <alignment horizontal="center" vertical="center" wrapText="1" readingOrder="1"/>
    </xf>
    <xf numFmtId="0" fontId="16" fillId="5" borderId="17" xfId="0" applyFont="1" applyFill="1" applyBorder="1" applyAlignment="1">
      <alignment horizontal="center" vertical="center" wrapText="1" readingOrder="1"/>
    </xf>
    <xf numFmtId="0" fontId="16" fillId="12" borderId="10" xfId="0" applyFont="1" applyFill="1" applyBorder="1" applyAlignment="1">
      <alignment horizontal="center" vertical="center" wrapText="1" readingOrder="1"/>
    </xf>
    <xf numFmtId="0" fontId="16" fillId="12" borderId="11" xfId="0" applyFont="1" applyFill="1" applyBorder="1" applyAlignment="1">
      <alignment horizontal="center" vertical="center" wrapText="1" readingOrder="1"/>
    </xf>
    <xf numFmtId="0" fontId="16" fillId="12" borderId="12" xfId="0" applyFont="1" applyFill="1" applyBorder="1" applyAlignment="1">
      <alignment horizontal="center" vertical="center" wrapText="1" readingOrder="1"/>
    </xf>
    <xf numFmtId="0" fontId="16" fillId="12" borderId="13" xfId="0" applyFont="1" applyFill="1" applyBorder="1" applyAlignment="1">
      <alignment horizontal="center" vertical="center" wrapText="1" readingOrder="1"/>
    </xf>
    <xf numFmtId="0" fontId="16" fillId="12" borderId="0" xfId="0" applyFont="1" applyFill="1" applyAlignment="1">
      <alignment horizontal="center" vertical="center" wrapText="1" readingOrder="1"/>
    </xf>
    <xf numFmtId="0" fontId="16" fillId="12" borderId="14" xfId="0" applyFont="1" applyFill="1" applyBorder="1" applyAlignment="1">
      <alignment horizontal="center" vertical="center" wrapText="1" readingOrder="1"/>
    </xf>
    <xf numFmtId="0" fontId="16" fillId="12" borderId="15" xfId="0" applyFont="1" applyFill="1" applyBorder="1" applyAlignment="1">
      <alignment horizontal="center" vertical="center" wrapText="1" readingOrder="1"/>
    </xf>
    <xf numFmtId="0" fontId="16" fillId="12" borderId="16" xfId="0" applyFont="1" applyFill="1" applyBorder="1" applyAlignment="1">
      <alignment horizontal="center" vertical="center" wrapText="1" readingOrder="1"/>
    </xf>
    <xf numFmtId="0" fontId="16" fillId="12" borderId="17" xfId="0" applyFont="1" applyFill="1" applyBorder="1" applyAlignment="1">
      <alignment horizontal="center" vertical="center" wrapText="1" readingOrder="1"/>
    </xf>
    <xf numFmtId="0" fontId="28" fillId="0" borderId="0" xfId="0" applyFont="1" applyAlignment="1">
      <alignment horizontal="center" vertical="center"/>
    </xf>
    <xf numFmtId="0" fontId="49" fillId="0" borderId="34" xfId="0" applyFont="1" applyBorder="1" applyAlignment="1">
      <alignment horizontal="center" vertical="center" wrapText="1"/>
    </xf>
    <xf numFmtId="0" fontId="49" fillId="0" borderId="35" xfId="0" applyFont="1" applyBorder="1" applyAlignment="1">
      <alignment horizontal="center" vertical="center" wrapText="1"/>
    </xf>
    <xf numFmtId="0" fontId="49" fillId="0" borderId="36" xfId="0" applyFont="1" applyBorder="1" applyAlignment="1">
      <alignment horizontal="center" vertical="center" wrapText="1"/>
    </xf>
    <xf numFmtId="0" fontId="47" fillId="0" borderId="51" xfId="0" applyFont="1" applyBorder="1" applyAlignment="1">
      <alignment horizontal="center" vertical="center" wrapText="1"/>
    </xf>
    <xf numFmtId="0" fontId="47" fillId="0" borderId="49" xfId="0" applyFont="1" applyBorder="1" applyAlignment="1">
      <alignment horizontal="center" vertical="center" wrapText="1"/>
    </xf>
    <xf numFmtId="0" fontId="47" fillId="0" borderId="24" xfId="0" applyFont="1" applyBorder="1" applyAlignment="1">
      <alignment horizontal="center" vertical="center" wrapText="1"/>
    </xf>
    <xf numFmtId="0" fontId="47" fillId="0" borderId="50" xfId="0" applyFont="1" applyBorder="1" applyAlignment="1">
      <alignment horizontal="center" vertical="center" wrapText="1"/>
    </xf>
    <xf numFmtId="0" fontId="47" fillId="0" borderId="32" xfId="0" applyFont="1" applyBorder="1" applyAlignment="1">
      <alignment horizontal="center" vertical="center" wrapText="1"/>
    </xf>
    <xf numFmtId="0" fontId="49" fillId="0" borderId="32" xfId="0" applyFont="1" applyBorder="1" applyAlignment="1">
      <alignment horizontal="center" vertical="center" wrapText="1"/>
    </xf>
    <xf numFmtId="0" fontId="49" fillId="0" borderId="24" xfId="0" applyFont="1" applyBorder="1" applyAlignment="1">
      <alignment horizontal="center" vertical="center" wrapText="1"/>
    </xf>
    <xf numFmtId="0" fontId="49" fillId="0" borderId="33" xfId="0" applyFont="1" applyBorder="1" applyAlignment="1">
      <alignment horizontal="center" vertical="center" wrapText="1"/>
    </xf>
    <xf numFmtId="0" fontId="26" fillId="15" borderId="37" xfId="0" applyFont="1" applyFill="1" applyBorder="1" applyAlignment="1">
      <alignment horizontal="center" vertical="center" wrapText="1" readingOrder="1"/>
    </xf>
    <xf numFmtId="0" fontId="26" fillId="15" borderId="38" xfId="0" applyFont="1" applyFill="1" applyBorder="1" applyAlignment="1">
      <alignment horizontal="center" vertical="center" wrapText="1" readingOrder="1"/>
    </xf>
    <xf numFmtId="0" fontId="26" fillId="15" borderId="39" xfId="0" applyFont="1" applyFill="1" applyBorder="1" applyAlignment="1">
      <alignment horizontal="center" vertical="center" wrapText="1" readingOrder="1"/>
    </xf>
    <xf numFmtId="0" fontId="42" fillId="3" borderId="0" xfId="0" applyFont="1" applyFill="1" applyAlignment="1">
      <alignment horizontal="justify" vertical="center" wrapText="1"/>
    </xf>
    <xf numFmtId="0" fontId="36" fillId="15" borderId="52" xfId="0" applyFont="1" applyFill="1" applyBorder="1" applyAlignment="1">
      <alignment horizontal="center" vertical="center" wrapText="1" readingOrder="1"/>
    </xf>
    <xf numFmtId="0" fontId="36" fillId="15" borderId="53" xfId="0" applyFont="1" applyFill="1" applyBorder="1" applyAlignment="1">
      <alignment horizontal="center" vertical="center" wrapText="1" readingOrder="1"/>
    </xf>
    <xf numFmtId="0" fontId="37" fillId="3" borderId="32" xfId="0" applyFont="1" applyFill="1" applyBorder="1" applyAlignment="1">
      <alignment horizontal="center" vertical="center" wrapText="1" readingOrder="1"/>
    </xf>
    <xf numFmtId="0" fontId="37" fillId="3" borderId="24" xfId="0" applyFont="1" applyFill="1" applyBorder="1" applyAlignment="1">
      <alignment horizontal="center" vertical="center" wrapText="1" readingOrder="1"/>
    </xf>
    <xf numFmtId="0" fontId="37" fillId="3" borderId="34" xfId="0" applyFont="1" applyFill="1" applyBorder="1" applyAlignment="1">
      <alignment horizontal="center" vertical="center" wrapText="1" readingOrder="1"/>
    </xf>
    <xf numFmtId="0" fontId="37" fillId="3" borderId="35" xfId="0" applyFont="1" applyFill="1" applyBorder="1" applyAlignment="1">
      <alignment horizontal="center" vertical="center" wrapText="1" readingOrder="1"/>
    </xf>
    <xf numFmtId="0" fontId="20" fillId="0" borderId="32" xfId="0" applyFont="1" applyFill="1" applyBorder="1" applyAlignment="1">
      <alignment horizontal="center" vertical="center" textRotation="90"/>
    </xf>
    <xf numFmtId="0" fontId="21" fillId="0" borderId="56"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7" xfId="0" applyFont="1" applyBorder="1" applyAlignment="1">
      <alignment horizontal="center" vertical="center" wrapText="1"/>
    </xf>
    <xf numFmtId="0" fontId="53" fillId="3" borderId="61" xfId="4" applyFont="1" applyFill="1" applyBorder="1" applyAlignment="1" applyProtection="1">
      <alignment horizontal="center" vertical="center" wrapText="1"/>
      <protection locked="0"/>
    </xf>
    <xf numFmtId="14" fontId="53" fillId="3" borderId="61" xfId="4" applyNumberFormat="1" applyFont="1" applyFill="1" applyBorder="1" applyAlignment="1" applyProtection="1">
      <alignment horizontal="center" vertical="center" wrapText="1"/>
      <protection locked="0"/>
    </xf>
    <xf numFmtId="0" fontId="20" fillId="0" borderId="24" xfId="0" applyFont="1" applyFill="1" applyBorder="1" applyAlignment="1" applyProtection="1">
      <alignment horizontal="center" vertical="center" wrapText="1"/>
      <protection locked="0"/>
    </xf>
    <xf numFmtId="0" fontId="20" fillId="0" borderId="0" xfId="0" applyFont="1" applyBorder="1" applyAlignment="1">
      <alignment horizontal="center" vertical="center" wrapText="1"/>
    </xf>
    <xf numFmtId="0" fontId="21" fillId="0" borderId="66" xfId="0" applyFont="1" applyBorder="1" applyAlignment="1">
      <alignment horizontal="center" vertical="center" wrapText="1"/>
    </xf>
    <xf numFmtId="0" fontId="21" fillId="0" borderId="67" xfId="0" applyFont="1" applyBorder="1" applyAlignment="1">
      <alignment horizontal="center" vertical="center" wrapText="1"/>
    </xf>
    <xf numFmtId="0" fontId="21" fillId="0" borderId="68" xfId="0" applyFont="1" applyBorder="1" applyAlignment="1">
      <alignment horizontal="center" vertical="center" wrapText="1"/>
    </xf>
    <xf numFmtId="0" fontId="22" fillId="15" borderId="69" xfId="0" applyFont="1" applyFill="1" applyBorder="1" applyAlignment="1">
      <alignment horizontal="center" vertical="center" wrapText="1"/>
    </xf>
    <xf numFmtId="0" fontId="35" fillId="0" borderId="24" xfId="0" applyFont="1" applyBorder="1" applyAlignment="1">
      <alignment horizontal="center" vertical="center" wrapText="1"/>
    </xf>
    <xf numFmtId="0" fontId="20" fillId="0" borderId="70" xfId="0" applyFont="1" applyBorder="1" applyAlignment="1">
      <alignment horizontal="center" vertical="center"/>
    </xf>
    <xf numFmtId="0" fontId="20" fillId="0" borderId="69" xfId="0" applyFont="1" applyBorder="1" applyAlignment="1">
      <alignment horizontal="center" vertical="center"/>
    </xf>
    <xf numFmtId="0" fontId="20" fillId="0" borderId="71" xfId="0" applyFont="1" applyBorder="1" applyAlignment="1">
      <alignment horizontal="center" vertical="center"/>
    </xf>
    <xf numFmtId="0" fontId="35" fillId="0" borderId="51" xfId="0" applyFont="1" applyBorder="1" applyAlignment="1">
      <alignment horizontal="center" vertical="center" wrapText="1"/>
    </xf>
    <xf numFmtId="0" fontId="35" fillId="0" borderId="49" xfId="0" applyFont="1" applyBorder="1" applyAlignment="1">
      <alignment horizontal="center" vertical="center" wrapText="1"/>
    </xf>
    <xf numFmtId="0" fontId="35" fillId="0" borderId="33" xfId="0" applyFont="1" applyBorder="1" applyAlignment="1">
      <alignment horizontal="center" vertical="center" wrapText="1"/>
    </xf>
    <xf numFmtId="0" fontId="22" fillId="15" borderId="46" xfId="0" applyFont="1" applyFill="1" applyBorder="1" applyAlignment="1">
      <alignment horizontal="center" vertical="center" wrapText="1"/>
    </xf>
    <xf numFmtId="0" fontId="23" fillId="0" borderId="33" xfId="0" applyFont="1" applyBorder="1" applyAlignment="1" applyProtection="1">
      <alignment horizontal="center" vertical="center"/>
      <protection hidden="1"/>
    </xf>
    <xf numFmtId="0" fontId="23" fillId="0" borderId="59" xfId="0" applyFont="1" applyBorder="1" applyAlignment="1" applyProtection="1">
      <alignment horizontal="center" vertical="center"/>
      <protection hidden="1"/>
    </xf>
    <xf numFmtId="0" fontId="23" fillId="0" borderId="60" xfId="0" applyFont="1" applyBorder="1" applyAlignment="1" applyProtection="1">
      <alignment horizontal="center" vertical="center"/>
      <protection hidden="1"/>
    </xf>
    <xf numFmtId="0" fontId="23" fillId="0" borderId="48" xfId="0" applyFont="1" applyBorder="1" applyAlignment="1" applyProtection="1">
      <alignment horizontal="center" vertical="center"/>
      <protection hidden="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405">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00B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alignment horizontal="general" vertical="center" textRotation="0" wrapText="0" indent="0" justifyLastLine="0" shrinkToFit="0" readingOrder="0"/>
    </dxf>
    <dxf>
      <alignment wrapText="1"/>
    </dxf>
    <dxf>
      <alignment wrapText="1"/>
    </dxf>
    <dxf>
      <alignment wrapText="1"/>
    </dxf>
    <dxf>
      <alignment wrapText="1"/>
    </dxf>
    <dxf>
      <alignment wrapText="1"/>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s>
  <tableStyles count="0" defaultTableStyle="TableStyleMedium2" defaultPivotStyle="PivotStyleLight16"/>
  <colors>
    <mruColors>
      <color rgb="FF6E1978"/>
      <color rgb="FFB61978"/>
      <color rgb="FFFE1978"/>
      <color rgb="FF4F5321"/>
      <color rgb="FFC5D11C"/>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externalLink" Target="externalLinks/externalLink12.xml"/><Relationship Id="rId29"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externalLink" Target="externalLinks/externalLink16.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openxmlformats.org/officeDocument/2006/relationships/externalLink" Target="externalLinks/externalLink15.xml"/><Relationship Id="rId28" Type="http://schemas.openxmlformats.org/officeDocument/2006/relationships/sharedStrings" Target="sharedStrings.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externalLink" Target="externalLinks/externalLink14.xml"/><Relationship Id="rId27" Type="http://schemas.openxmlformats.org/officeDocument/2006/relationships/styles" Target="styles.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32318</xdr:colOff>
      <xdr:row>1</xdr:row>
      <xdr:rowOff>165875</xdr:rowOff>
    </xdr:from>
    <xdr:to>
      <xdr:col>3</xdr:col>
      <xdr:colOff>418419</xdr:colOff>
      <xdr:row>2</xdr:row>
      <xdr:rowOff>526413</xdr:rowOff>
    </xdr:to>
    <xdr:pic>
      <xdr:nvPicPr>
        <xdr:cNvPr id="3" name="Imagen 2">
          <a:extLst>
            <a:ext uri="{FF2B5EF4-FFF2-40B4-BE49-F238E27FC236}">
              <a16:creationId xmlns:a16="http://schemas.microsoft.com/office/drawing/2014/main" id="{3EDEB768-8820-468C-88B9-DD783CC2CE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1443" y="356375"/>
          <a:ext cx="1719601" cy="10082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de%20Riesgos%20de%20Corrupci&#243;n%20DE%20VF.xlsx" TargetMode="External"/><Relationship Id="rId1" Type="http://schemas.openxmlformats.org/officeDocument/2006/relationships/externalLinkPath" Target="/personal/ccampos_saesas_gov_co/Documents/6.1%20Acciones%20para%20abordar%20los%20riesgos%20y%20las%20oportunidades/Corrupci&#243;n/VF/Matriz%20de%20Riesgos%20de%20Corrupci&#243;n%20DE%20VF.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de%20Riesgos%20de%20Corrupci&#243;n%20Recepci&#243;n%20y%20Registro%20VF.xlsx" TargetMode="External"/><Relationship Id="rId1" Type="http://schemas.openxmlformats.org/officeDocument/2006/relationships/externalLinkPath" Target="/personal/ccampos_saesas_gov_co/Documents/6.1%20Acciones%20para%20abordar%20los%20riesgos%20y%20las%20oportunidades/Corrupci&#243;n/VF/Matriz%20de%20Riesgos%20de%20Corrupci&#243;n%20Recepci&#243;n%20y%20Registro%20VF.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Riesgos%20de%20Corrupci&#243;n%20GA%20VF.xlsx" TargetMode="External"/><Relationship Id="rId1" Type="http://schemas.openxmlformats.org/officeDocument/2006/relationships/externalLinkPath" Target="/personal/ccampos_saesas_gov_co/Documents/6.1%20Acciones%20para%20abordar%20los%20riesgos%20y%20las%20oportunidades/Corrupci&#243;n/VF/Matriz%20Riesgos%20de%20Corrupci&#243;n%20GA%20VF.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Riesgos%20de%20Corrupci&#243;n%20GD%20VF.xlsx" TargetMode="External"/><Relationship Id="rId1" Type="http://schemas.openxmlformats.org/officeDocument/2006/relationships/externalLinkPath" Target="/personal/ccampos_saesas_gov_co/Documents/6.1%20Acciones%20para%20abordar%20los%20riesgos%20y%20las%20oportunidades/Corrupci&#243;n/VF/Matriz%20Riesgos%20de%20Corrupci&#243;n%20GD%20VF.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riesgos%20de%20corrupci&#243;n%20Gesti&#243;n%20de%20Cumplimiento%20VF.xlsx" TargetMode="External"/><Relationship Id="rId1" Type="http://schemas.openxmlformats.org/officeDocument/2006/relationships/externalLinkPath" Target="/personal/ccampos_saesas_gov_co/Documents/6.1%20Acciones%20para%20abordar%20los%20riesgos%20y%20las%20oportunidades/Corrupci&#243;n/VF/Matriz%20riesgos%20de%20corrupci&#243;n%20Gesti&#243;n%20de%20Cumplimiento%20VF.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riesgos%20de%20corrupci&#243;n%20GF%20VF.xlsx" TargetMode="External"/><Relationship Id="rId1" Type="http://schemas.openxmlformats.org/officeDocument/2006/relationships/externalLinkPath" Target="/personal/ccampos_saesas_gov_co/Documents/6.1%20Acciones%20para%20abordar%20los%20riesgos%20y%20las%20oportunidades/Corrupci&#243;n/VF/Matriz%20riesgos%20de%20corrupci&#243;n%20GF%20VF.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https://d.docs.live.net/599cf28b6982d984/Operadora%20Distrital/SGC/6.1%20Acciones%20para%20abordar%20los%20riesgos%20y%20las%20oportunidades/2024/C%20-%20Mapa%20de%20Riesgos%20Corrupci&#243;n%20Gesti&#243;n%20de%20Talento%20Humano.xlsx" TargetMode="External"/><Relationship Id="rId1" Type="http://schemas.openxmlformats.org/officeDocument/2006/relationships/externalLinkPath" Target="https://d.docs.live.net/599cf28b6982d984/Operadora%20Distrital/SGC/6.1%20Acciones%20para%20abordar%20los%20riesgos%20y%20las%20oportunidades/2024/C%20-%20Mapa%20de%20Riesgos%20Corrupci&#243;n%20Gesti&#243;n%20de%20Talento%20Humano.xlsx" TargetMode="External"/></Relationships>
</file>

<file path=xl/externalLinks/_rels/externalLink8.xml.rels><?xml version="1.0" encoding="UTF-8" standalone="yes"?>
<Relationships xmlns="http://schemas.openxmlformats.org/package/2006/relationships"><Relationship Id="rId3" Type="http://schemas.openxmlformats.org/officeDocument/2006/relationships/externalLinkPath" Target="https://saesas-my.sharepoint.com/personal/ccampos_saesas_gov_co/Documents/6.1%20Acciones%20para%20abordar%20los%20riesgos%20y%20las%20oportunidades/Corrupci&#243;n/VF/Matriz%20Riesgos%20de%20Corrupci&#243;n%20Proceso%20de%20Seguimiento%20y%20Evaluaci&#243;n%20Organizacional%20VF.xlsx" TargetMode="External"/><Relationship Id="rId2" Type="http://schemas.microsoft.com/office/2019/04/relationships/externalLinkLongPath" Target="/personal/ccampos_saesas_gov_co/Documents/6.1%20Acciones%20para%20abordar%20los%20riesgos%20y%20las%20oportunidades/Corrupci&#243;n/VF/Matriz%20Riesgos%20de%20Corrupci&#243;n%20Proceso%20de%20Seguimiento%20y%20Evaluaci&#243;n%20Organizacional%20VF.xlsx?C53E5E70" TargetMode="External"/><Relationship Id="rId1" Type="http://schemas.openxmlformats.org/officeDocument/2006/relationships/externalLinkPath" Target="file:///\\C53E5E70\Matriz%20Riesgos%20de%20Corrupci&#243;n%20Proceso%20de%20Seguimiento%20y%20Evaluaci&#243;n%20Organizacional%20VF.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Riesgos%20de%20Corrupci&#243;n%20Tecnolog&#237;as%20de%20la%20Informaci&#243;n%20VF.xlsx" TargetMode="External"/><Relationship Id="rId1" Type="http://schemas.openxmlformats.org/officeDocument/2006/relationships/externalLinkPath" Target="/personal/ccampos_saesas_gov_co/Documents/6.1%20Acciones%20para%20abordar%20los%20riesgos%20y%20las%20oportunidades/Corrupci&#243;n/VF/Matriz%20Riesgos%20de%20Corrupci&#243;n%20Tecnolog&#237;as%20de%20la%20Informaci&#243;n%20VF.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riesgos%20de%20corrupci&#243;n%20Di&#225;gnostico%20y%20Alistamiento%20VF.xlsx" TargetMode="External"/><Relationship Id="rId1" Type="http://schemas.openxmlformats.org/officeDocument/2006/relationships/externalLinkPath" Target="/personal/ccampos_saesas_gov_co/Documents/6.1%20Acciones%20para%20abordar%20los%20riesgos%20y%20las%20oportunidades/Corrupci&#243;n/VF/Matriz%20riesgos%20de%20corrupci&#243;n%20Di&#225;gnostico%20y%20Alistamiento%20VF.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Propuesta%20matriz%20riesgos%20de%20corrupci&#243;n%20GC%20VF.xlsx" TargetMode="External"/><Relationship Id="rId1" Type="http://schemas.openxmlformats.org/officeDocument/2006/relationships/externalLinkPath" Target="/personal/ccampos_saesas_gov_co/Documents/6.1%20Acciones%20para%20abordar%20los%20riesgos%20y%20las%20oportunidades/Corrupci&#243;n/Propuesta%20matriz%20riesgos%20de%20corrupci&#243;n%20GC%20VF.xlsx" TargetMode="External"/></Relationships>
</file>

<file path=xl/externalLinks/_rels/externalLink12.xml.rels><?xml version="1.0" encoding="UTF-8" standalone="yes"?>
<Relationships xmlns="http://schemas.openxmlformats.org/package/2006/relationships"><Relationship Id="rId3" Type="http://schemas.openxmlformats.org/officeDocument/2006/relationships/externalLinkPath" Target="https://saesas-my.sharepoint.com/personal/ccampos_saesas_gov_co/Documents/6.1%20Acciones%20para%20abordar%20los%20riesgos%20y%20las%20oportunidades/Corrupci&#243;n/VF/Matriz%20riesgos%20de%20corrupci&#243;n%20Gerencia%20Comercial%20de%20Activos%20Sociales%20VF.xlsx" TargetMode="External"/><Relationship Id="rId2" Type="http://schemas.microsoft.com/office/2019/04/relationships/externalLinkLongPath" Target="/personal/ccampos_saesas_gov_co/Documents/6.1%20Acciones%20para%20abordar%20los%20riesgos%20y%20las%20oportunidades/Corrupci&#243;n/VF/Matriz%20riesgos%20de%20corrupci&#243;n%20Gerencia%20Comercial%20de%20Activos%20Sociales%20VF.xlsx?C53E5E70" TargetMode="External"/><Relationship Id="rId1" Type="http://schemas.openxmlformats.org/officeDocument/2006/relationships/externalLinkPath" Target="file:///\\C53E5E70\Matriz%20riesgos%20de%20corrupci&#243;n%20Gerencia%20Comercial%20de%20Activos%20Sociales%20VF.xlsx" TargetMode="External"/></Relationships>
</file>

<file path=xl/externalLinks/_rels/externalLink13.xml.rels><?xml version="1.0" encoding="UTF-8" standalone="yes"?>
<Relationships xmlns="http://schemas.openxmlformats.org/package/2006/relationships"><Relationship Id="rId2" Type="http://schemas.openxmlformats.org/officeDocument/2006/relationships/externalLinkPath" Target="https://saesas.sharepoint.com/sites/ReporteRiesgos/Documentos%20compartidos/GIT%20Riesgos/Matrices%20propuestas/Corrupci&#243;n/Pendientes/Propuesta%20matriz%20riesgos%20de%20corrupci&#243;n%20Urbanos.xlsx" TargetMode="External"/><Relationship Id="rId1" Type="http://schemas.openxmlformats.org/officeDocument/2006/relationships/externalLinkPath" Target="https://saesas.sharepoint.com/sites/ReporteRiesgos/Documentos%20compartidos/GIT%20Riesgos/Matrices%20propuestas/Corrupci&#243;n/Pendientes/Propuesta%20matriz%20riesgos%20de%20corrupci&#243;n%20Urbanos.xlsx" TargetMode="External"/></Relationships>
</file>

<file path=xl/externalLinks/_rels/externalLink14.xml.rels><?xml version="1.0" encoding="UTF-8" standalone="yes"?>
<Relationships xmlns="http://schemas.openxmlformats.org/package/2006/relationships"><Relationship Id="rId2" Type="http://schemas.openxmlformats.org/officeDocument/2006/relationships/externalLinkPath" Target="https://saesas.sharepoint.com/sites/ReporteRiesgos/Documentos%20compartidos/GIT%20Riesgos/Matrices%20propuestas/Corrupci&#243;n/Pendientes/Matriz%20de%20Riesgos%20de%20Corrupci&#243;n%20Bienes%20Muebles%20VF.xlsx" TargetMode="External"/><Relationship Id="rId1" Type="http://schemas.openxmlformats.org/officeDocument/2006/relationships/externalLinkPath" Target="https://saesas.sharepoint.com/sites/ReporteRiesgos/Documentos%20compartidos/GIT%20Riesgos/Matrices%20propuestas/Corrupci&#243;n/Pendientes/Matriz%20de%20Riesgos%20de%20Corrupci&#243;n%20Bienes%20Muebles%20VF.xlsx" TargetMode="External"/></Relationships>
</file>

<file path=xl/externalLinks/_rels/externalLink15.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Riesgos%20de%20Corrupci&#243;n%20Urbanos%20VF.xlsx" TargetMode="External"/><Relationship Id="rId1" Type="http://schemas.openxmlformats.org/officeDocument/2006/relationships/externalLinkPath" Target="/personal/ccampos_saesas_gov_co/Documents/6.1%20Acciones%20para%20abordar%20los%20riesgos%20y%20las%20oportunidades/Corrupci&#243;n/VF/Matriz%20Riesgos%20de%20Corrupci&#243;n%20Urbanos%20VF.xlsx" TargetMode="External"/></Relationships>
</file>

<file path=xl/externalLinks/_rels/externalLink16.xml.rels><?xml version="1.0" encoding="UTF-8" standalone="yes"?>
<Relationships xmlns="http://schemas.openxmlformats.org/package/2006/relationships"><Relationship Id="rId2" Type="http://schemas.openxmlformats.org/officeDocument/2006/relationships/externalLinkPath" Target="https://saesas-my.sharepoint.com/personal/ccampos_saesas_gov_co/Documents/6.1%20Acciones%20para%20abordar%20los%20riesgos%20y%20las%20oportunidades/Corrupci&#243;n/VF/Matriz%20Riesgos%20de%20Corrupci&#243;n%20Vicepresidencia%20de%20Sociedades%20VF.xlsx" TargetMode="External"/><Relationship Id="rId1" Type="http://schemas.openxmlformats.org/officeDocument/2006/relationships/externalLinkPath" Target="/personal/ccampos_saesas_gov_co/Documents/6.1%20Acciones%20para%20abordar%20los%20riesgos%20y%20las%20oportunidades/Corrupci&#243;n/VF/Matriz%20Riesgos%20de%20Corrupci&#243;n%20Vicepresidencia%20de%20Sociedades%20V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Hoja2"/>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sheetData sheetId="6">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Impacto"/>
      <sheetName val="Tabla probabilidad"/>
      <sheetName val="Tabla Valoración controles"/>
      <sheetName val="Opciones Tratamiento"/>
      <sheetName val="Hoja1"/>
    </sheetNames>
    <sheetDataSet>
      <sheetData sheetId="0"/>
      <sheetData sheetId="1"/>
      <sheetData sheetId="2"/>
      <sheetData sheetId="3"/>
      <sheetData sheetId="4">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5"/>
      <sheetData sheetId="6"/>
      <sheetData sheetId="7"/>
      <sheetData sheetId="8"/>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 val="Hoja2"/>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 sheetId="9"/>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5">
          <cell r="C5" t="str">
            <v xml:space="preserve">Responder afirmativamente de UNA a CINCO preguntas </v>
          </cell>
        </row>
        <row r="6">
          <cell r="C6" t="str">
            <v>Responder afirmativamente de SEIS a ONCE</v>
          </cell>
        </row>
        <row r="7">
          <cell r="C7" t="str">
            <v xml:space="preserve">Responder afirmativamente de DOCE a DIECINUEVE </v>
          </cell>
        </row>
        <row r="220">
          <cell r="B220" t="str">
            <v>Criterios</v>
          </cell>
        </row>
        <row r="221">
          <cell r="B221" t="str">
            <v>Afectación Económica o presupuestal</v>
          </cell>
        </row>
        <row r="222">
          <cell r="B222" t="str">
            <v>Pérdida Reputacional</v>
          </cell>
          <cell r="F222" t="str">
            <v>❌</v>
          </cell>
        </row>
      </sheetData>
      <sheetData sheetId="6"/>
      <sheetData sheetId="7"/>
      <sheetData sheetId="8"/>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4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8:E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formats count="11">
    <format dxfId="404">
      <pivotArea type="all" dataOnly="0" outline="0" fieldPosition="0"/>
    </format>
    <format dxfId="403">
      <pivotArea field="0" type="button" dataOnly="0" labelOnly="1" outline="0" axis="axisRow" fieldPosition="0"/>
    </format>
    <format dxfId="402">
      <pivotArea field="1" type="button" dataOnly="0" labelOnly="1" outline="0" axis="axisRow" fieldPosition="1"/>
    </format>
    <format dxfId="401">
      <pivotArea dataOnly="0" labelOnly="1" outline="0" fieldPosition="0">
        <references count="1">
          <reference field="0" count="0"/>
        </references>
      </pivotArea>
    </format>
    <format dxfId="400">
      <pivotArea dataOnly="0" labelOnly="1" outline="0" fieldPosition="0">
        <references count="2">
          <reference field="0" count="1" selected="0">
            <x v="0"/>
          </reference>
          <reference field="1" count="5">
            <x v="0"/>
            <x v="6"/>
            <x v="7"/>
            <x v="8"/>
            <x v="9"/>
          </reference>
        </references>
      </pivotArea>
    </format>
    <format dxfId="399">
      <pivotArea dataOnly="0" labelOnly="1" outline="0" fieldPosition="0">
        <references count="2">
          <reference field="0" count="1" selected="0">
            <x v="1"/>
          </reference>
          <reference field="1" count="5">
            <x v="1"/>
            <x v="2"/>
            <x v="3"/>
            <x v="4"/>
            <x v="5"/>
          </reference>
        </references>
      </pivotArea>
    </format>
    <format dxfId="398">
      <pivotArea field="1" type="button" dataOnly="0" labelOnly="1" outline="0" axis="axisRow" fieldPosition="1"/>
    </format>
    <format dxfId="397">
      <pivotArea dataOnly="0" labelOnly="1" outline="0" fieldPosition="0">
        <references count="1">
          <reference field="0" count="1">
            <x v="0"/>
          </reference>
        </references>
      </pivotArea>
    </format>
    <format dxfId="396">
      <pivotArea dataOnly="0" labelOnly="1" outline="0" fieldPosition="0">
        <references count="1">
          <reference field="0" count="1">
            <x v="1"/>
          </reference>
        </references>
      </pivotArea>
    </format>
    <format dxfId="395">
      <pivotArea dataOnly="0" labelOnly="1" outline="0" fieldPosition="0">
        <references count="2">
          <reference field="0" count="1" selected="0">
            <x v="0"/>
          </reference>
          <reference field="1" count="5">
            <x v="0"/>
            <x v="6"/>
            <x v="7"/>
            <x v="8"/>
            <x v="9"/>
          </reference>
        </references>
      </pivotArea>
    </format>
    <format dxfId="394">
      <pivotArea dataOnly="0" labelOnly="1" outline="0" fieldPosition="0">
        <references count="2">
          <reference field="0" count="1" selected="0">
            <x v="1"/>
          </reference>
          <reference field="1" count="5">
            <x v="1"/>
            <x v="2"/>
            <x v="3"/>
            <x v="4"/>
            <x v="5"/>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8:C218" totalsRowShown="0" headerRowDxfId="393" dataDxfId="392">
  <autoFilter ref="B208:C218" xr:uid="{00000000-0009-0000-0100-000001000000}"/>
  <tableColumns count="2">
    <tableColumn id="1" xr3:uid="{00000000-0010-0000-0000-000001000000}" name="Criterios" dataDxfId="391"/>
    <tableColumn id="2" xr3:uid="{00000000-0010-0000-0000-000002000000}" name="Subcriterios" dataDxfId="39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5.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M186"/>
  <sheetViews>
    <sheetView showGridLines="0" tabSelected="1" zoomScale="70" zoomScaleNormal="70" workbookViewId="0">
      <selection activeCell="A4" sqref="A4"/>
    </sheetView>
  </sheetViews>
  <sheetFormatPr baseColWidth="10" defaultColWidth="11.42578125" defaultRowHeight="14.25" x14ac:dyDescent="0.2"/>
  <cols>
    <col min="1" max="1" width="5.28515625" style="44" customWidth="1"/>
    <col min="2" max="2" width="4" style="50" bestFit="1" customWidth="1"/>
    <col min="3" max="3" width="20" style="50" customWidth="1"/>
    <col min="4" max="4" width="27.85546875" style="50" customWidth="1"/>
    <col min="5" max="6" width="21.140625" style="50" customWidth="1"/>
    <col min="7" max="7" width="36.28515625" style="44" customWidth="1"/>
    <col min="8" max="8" width="17.85546875" style="44" customWidth="1"/>
    <col min="9" max="9" width="22.28515625" style="44" customWidth="1"/>
    <col min="10" max="10" width="10.140625" style="44" customWidth="1"/>
    <col min="11" max="11" width="27.28515625" style="44" bestFit="1" customWidth="1"/>
    <col min="12" max="12" width="30.5703125" style="44" hidden="1" customWidth="1"/>
    <col min="13" max="13" width="17.5703125" style="44" customWidth="1"/>
    <col min="14" max="14" width="7.42578125" style="44" customWidth="1"/>
    <col min="15" max="15" width="16" style="44" customWidth="1"/>
    <col min="16" max="16" width="5.85546875" style="44" customWidth="1"/>
    <col min="17" max="17" width="63.5703125" style="44" customWidth="1"/>
    <col min="18" max="18" width="15.140625" style="44" bestFit="1" customWidth="1"/>
    <col min="19" max="19" width="6.85546875" style="44" customWidth="1"/>
    <col min="20" max="20" width="5" style="44" customWidth="1"/>
    <col min="21" max="21" width="5.5703125" style="44" customWidth="1"/>
    <col min="22" max="22" width="7.140625" style="44" customWidth="1"/>
    <col min="23" max="23" width="6.7109375" style="44" customWidth="1"/>
    <col min="24" max="24" width="7.5703125" style="44" customWidth="1"/>
    <col min="25" max="25" width="7.85546875" style="44" customWidth="1"/>
    <col min="26" max="26" width="8.7109375" style="44" customWidth="1"/>
    <col min="27" max="27" width="10.42578125" style="44" customWidth="1"/>
    <col min="28" max="28" width="9.28515625" style="44" customWidth="1"/>
    <col min="29" max="29" width="9.140625" style="44" customWidth="1"/>
    <col min="30" max="30" width="9.28515625" style="44" customWidth="1"/>
    <col min="31" max="31" width="7.28515625" style="44" customWidth="1"/>
    <col min="32" max="32" width="26.85546875" style="44" customWidth="1"/>
    <col min="33" max="33" width="22.5703125" style="44" customWidth="1"/>
    <col min="34" max="34" width="21.7109375" style="44" customWidth="1"/>
    <col min="35" max="35" width="18.140625" style="44" customWidth="1"/>
    <col min="36" max="36" width="18.5703125" style="44" customWidth="1"/>
    <col min="37" max="37" width="22.5703125" style="44" customWidth="1"/>
    <col min="38" max="38" width="19.28515625" style="44" customWidth="1"/>
    <col min="39" max="39" width="15.140625" style="44" customWidth="1"/>
    <col min="40" max="40" width="13.7109375" style="44" customWidth="1"/>
    <col min="41" max="41" width="15.42578125" style="44" customWidth="1"/>
    <col min="42" max="16384" width="11.42578125" style="44"/>
  </cols>
  <sheetData>
    <row r="1" spans="1:65" ht="15" thickBot="1" x14ac:dyDescent="0.25"/>
    <row r="2" spans="1:65" ht="51" customHeight="1" x14ac:dyDescent="0.2">
      <c r="B2" s="213"/>
      <c r="C2" s="214"/>
      <c r="D2" s="214"/>
      <c r="E2" s="214"/>
      <c r="F2" s="214"/>
      <c r="G2" s="214"/>
      <c r="H2" s="214"/>
      <c r="I2" s="214"/>
      <c r="J2" s="214"/>
      <c r="K2" s="214"/>
      <c r="L2" s="214"/>
      <c r="M2" s="214"/>
      <c r="N2" s="214"/>
      <c r="O2" s="214"/>
      <c r="P2" s="214"/>
      <c r="Q2" s="214"/>
      <c r="R2" s="214"/>
      <c r="S2" s="214"/>
      <c r="T2" s="214"/>
      <c r="U2" s="214"/>
      <c r="V2" s="214"/>
      <c r="W2" s="214"/>
      <c r="X2" s="214"/>
      <c r="Y2" s="214"/>
      <c r="Z2" s="214"/>
      <c r="AA2" s="214"/>
      <c r="AB2" s="214"/>
      <c r="AC2" s="214"/>
      <c r="AD2" s="214"/>
      <c r="AE2" s="214"/>
      <c r="AF2" s="214"/>
      <c r="AG2" s="214"/>
      <c r="AH2" s="214"/>
      <c r="AI2" s="214"/>
      <c r="AJ2" s="214"/>
      <c r="AK2" s="214"/>
      <c r="AL2" s="214"/>
      <c r="AM2" s="215"/>
      <c r="AN2" s="389" t="s">
        <v>387</v>
      </c>
      <c r="AO2" s="390"/>
      <c r="AP2" s="43"/>
      <c r="AQ2" s="43"/>
      <c r="AR2" s="43"/>
      <c r="AS2" s="43"/>
      <c r="AT2" s="43"/>
      <c r="AU2" s="43"/>
      <c r="AV2" s="43"/>
      <c r="AW2" s="43"/>
      <c r="AX2" s="43"/>
      <c r="AY2" s="43"/>
      <c r="AZ2" s="43"/>
      <c r="BA2" s="43"/>
      <c r="BB2" s="43"/>
      <c r="BC2" s="43"/>
      <c r="BD2" s="43"/>
      <c r="BE2" s="43"/>
      <c r="BF2" s="43"/>
      <c r="BG2" s="43"/>
      <c r="BH2" s="43"/>
      <c r="BI2" s="43"/>
      <c r="BJ2" s="43"/>
      <c r="BK2" s="43"/>
      <c r="BL2" s="43"/>
      <c r="BM2" s="43"/>
    </row>
    <row r="3" spans="1:65" ht="58.5" customHeight="1" thickBot="1" x14ac:dyDescent="0.25">
      <c r="B3" s="386"/>
      <c r="C3" s="387"/>
      <c r="D3" s="387"/>
      <c r="E3" s="387"/>
      <c r="F3" s="387"/>
      <c r="G3" s="387"/>
      <c r="H3" s="387"/>
      <c r="I3" s="387"/>
      <c r="J3" s="387"/>
      <c r="K3" s="387"/>
      <c r="L3" s="387"/>
      <c r="M3" s="387"/>
      <c r="N3" s="387"/>
      <c r="O3" s="387"/>
      <c r="P3" s="387"/>
      <c r="Q3" s="387"/>
      <c r="R3" s="387"/>
      <c r="S3" s="387"/>
      <c r="T3" s="387"/>
      <c r="U3" s="387"/>
      <c r="V3" s="387"/>
      <c r="W3" s="387"/>
      <c r="X3" s="387"/>
      <c r="Y3" s="387"/>
      <c r="Z3" s="387"/>
      <c r="AA3" s="387"/>
      <c r="AB3" s="387"/>
      <c r="AC3" s="387"/>
      <c r="AD3" s="387"/>
      <c r="AE3" s="387"/>
      <c r="AF3" s="387"/>
      <c r="AG3" s="387"/>
      <c r="AH3" s="387"/>
      <c r="AI3" s="387"/>
      <c r="AJ3" s="387"/>
      <c r="AK3" s="387"/>
      <c r="AL3" s="387"/>
      <c r="AM3" s="388"/>
      <c r="AN3" s="385"/>
      <c r="AO3" s="391"/>
      <c r="AP3" s="43"/>
      <c r="AQ3" s="43"/>
      <c r="AR3" s="43"/>
      <c r="AS3" s="43"/>
      <c r="AT3" s="43"/>
      <c r="AU3" s="43"/>
      <c r="AV3" s="43"/>
      <c r="AW3" s="43"/>
      <c r="AX3" s="43"/>
      <c r="AY3" s="43"/>
      <c r="AZ3" s="43"/>
      <c r="BA3" s="43"/>
      <c r="BB3" s="43"/>
      <c r="BC3" s="43"/>
      <c r="BD3" s="43"/>
      <c r="BE3" s="43"/>
      <c r="BF3" s="43"/>
      <c r="BG3" s="43"/>
      <c r="BH3" s="43"/>
      <c r="BI3" s="43"/>
      <c r="BJ3" s="43"/>
      <c r="BK3" s="43"/>
      <c r="BL3" s="43"/>
      <c r="BM3" s="43"/>
    </row>
    <row r="4" spans="1:65" ht="48.75" customHeight="1" thickBot="1" x14ac:dyDescent="0.25">
      <c r="B4" s="211" t="s">
        <v>386</v>
      </c>
      <c r="C4" s="212"/>
      <c r="D4" s="212"/>
      <c r="E4" s="212"/>
      <c r="F4" s="212"/>
      <c r="G4" s="212"/>
      <c r="H4" s="212"/>
      <c r="I4" s="212"/>
      <c r="J4" s="212"/>
      <c r="K4" s="212"/>
      <c r="L4" s="212"/>
      <c r="M4" s="212"/>
      <c r="N4" s="212"/>
      <c r="O4" s="212"/>
      <c r="P4" s="212"/>
      <c r="Q4" s="212"/>
      <c r="R4" s="212"/>
      <c r="S4" s="212"/>
      <c r="T4" s="212"/>
      <c r="U4" s="212"/>
      <c r="V4" s="212"/>
      <c r="W4" s="212"/>
      <c r="X4" s="212"/>
      <c r="Y4" s="212"/>
      <c r="Z4" s="212"/>
      <c r="AA4" s="212"/>
      <c r="AB4" s="212"/>
      <c r="AC4" s="212"/>
      <c r="AD4" s="212"/>
      <c r="AE4" s="212"/>
      <c r="AF4" s="212"/>
      <c r="AG4" s="212"/>
      <c r="AH4" s="212"/>
      <c r="AI4" s="212"/>
      <c r="AJ4" s="212"/>
      <c r="AK4" s="212"/>
      <c r="AL4" s="212"/>
      <c r="AM4" s="212"/>
      <c r="AN4" s="384"/>
      <c r="AO4" s="392"/>
      <c r="AP4" s="43"/>
      <c r="AQ4" s="43"/>
      <c r="AR4" s="43"/>
      <c r="AS4" s="43"/>
      <c r="AT4" s="43"/>
      <c r="AU4" s="43"/>
      <c r="AV4" s="43"/>
      <c r="AW4" s="43"/>
      <c r="AX4" s="43"/>
      <c r="AY4" s="43"/>
      <c r="AZ4" s="43"/>
      <c r="BA4" s="43"/>
      <c r="BB4" s="43"/>
      <c r="BC4" s="43"/>
      <c r="BD4" s="43"/>
      <c r="BE4" s="43"/>
      <c r="BF4" s="43"/>
      <c r="BG4" s="43"/>
      <c r="BH4" s="43"/>
      <c r="BI4" s="43"/>
      <c r="BJ4" s="43"/>
      <c r="BK4" s="43"/>
      <c r="BL4" s="43"/>
      <c r="BM4" s="43"/>
    </row>
    <row r="5" spans="1:65" ht="24" customHeight="1" x14ac:dyDescent="0.2">
      <c r="B5" s="181" t="s">
        <v>14</v>
      </c>
      <c r="C5" s="182"/>
      <c r="D5" s="182"/>
      <c r="E5" s="182"/>
      <c r="F5" s="182"/>
      <c r="G5" s="183"/>
      <c r="H5" s="198" t="s">
        <v>15</v>
      </c>
      <c r="I5" s="199"/>
      <c r="J5" s="199"/>
      <c r="K5" s="199"/>
      <c r="L5" s="199"/>
      <c r="M5" s="199"/>
      <c r="N5" s="199"/>
      <c r="O5" s="200"/>
      <c r="P5" s="201" t="s">
        <v>16</v>
      </c>
      <c r="Q5" s="201"/>
      <c r="R5" s="201"/>
      <c r="S5" s="201"/>
      <c r="T5" s="201"/>
      <c r="U5" s="201"/>
      <c r="V5" s="201"/>
      <c r="W5" s="201"/>
      <c r="X5" s="201"/>
      <c r="Y5" s="202" t="s">
        <v>17</v>
      </c>
      <c r="Z5" s="202"/>
      <c r="AA5" s="202"/>
      <c r="AB5" s="202"/>
      <c r="AC5" s="202"/>
      <c r="AD5" s="202"/>
      <c r="AE5" s="202"/>
      <c r="AF5" s="201" t="s">
        <v>18</v>
      </c>
      <c r="AG5" s="201"/>
      <c r="AH5" s="201"/>
      <c r="AI5" s="201"/>
      <c r="AJ5" s="201"/>
      <c r="AK5" s="203"/>
      <c r="AL5" s="204" t="s">
        <v>19</v>
      </c>
      <c r="AM5" s="205"/>
      <c r="AN5" s="205"/>
      <c r="AO5" s="206"/>
      <c r="AP5" s="43"/>
      <c r="AQ5" s="43"/>
      <c r="AR5" s="43"/>
      <c r="AS5" s="43"/>
      <c r="AT5" s="43"/>
      <c r="AU5" s="43"/>
      <c r="AV5" s="43"/>
      <c r="AW5" s="43"/>
      <c r="AX5" s="43"/>
      <c r="AY5" s="43"/>
      <c r="AZ5" s="43"/>
      <c r="BA5" s="43"/>
      <c r="BB5" s="43"/>
      <c r="BC5" s="43"/>
      <c r="BD5" s="43"/>
      <c r="BE5" s="43"/>
      <c r="BF5" s="43"/>
      <c r="BG5" s="43"/>
      <c r="BH5" s="43"/>
      <c r="BI5" s="43"/>
      <c r="BJ5" s="43"/>
      <c r="BK5" s="43"/>
      <c r="BL5" s="43"/>
      <c r="BM5" s="43"/>
    </row>
    <row r="6" spans="1:65" ht="16.5" customHeight="1" x14ac:dyDescent="0.2">
      <c r="B6" s="184" t="s">
        <v>210</v>
      </c>
      <c r="C6" s="176" t="s">
        <v>0</v>
      </c>
      <c r="D6" s="178" t="s">
        <v>1</v>
      </c>
      <c r="E6" s="176" t="s">
        <v>239</v>
      </c>
      <c r="F6" s="176" t="s">
        <v>20</v>
      </c>
      <c r="G6" s="176" t="s">
        <v>2</v>
      </c>
      <c r="H6" s="186" t="s">
        <v>21</v>
      </c>
      <c r="I6" s="186" t="s">
        <v>22</v>
      </c>
      <c r="J6" s="188" t="s">
        <v>23</v>
      </c>
      <c r="K6" s="186" t="s">
        <v>24</v>
      </c>
      <c r="L6" s="186" t="s">
        <v>25</v>
      </c>
      <c r="M6" s="186" t="s">
        <v>26</v>
      </c>
      <c r="N6" s="188" t="s">
        <v>23</v>
      </c>
      <c r="O6" s="186" t="s">
        <v>3</v>
      </c>
      <c r="P6" s="194" t="s">
        <v>4</v>
      </c>
      <c r="Q6" s="178" t="s">
        <v>5</v>
      </c>
      <c r="R6" s="178" t="s">
        <v>6</v>
      </c>
      <c r="S6" s="178" t="s">
        <v>27</v>
      </c>
      <c r="T6" s="178"/>
      <c r="U6" s="178"/>
      <c r="V6" s="178"/>
      <c r="W6" s="178"/>
      <c r="X6" s="178"/>
      <c r="Y6" s="192" t="s">
        <v>28</v>
      </c>
      <c r="Z6" s="192" t="s">
        <v>29</v>
      </c>
      <c r="AA6" s="192" t="s">
        <v>23</v>
      </c>
      <c r="AB6" s="192" t="s">
        <v>30</v>
      </c>
      <c r="AC6" s="192" t="s">
        <v>23</v>
      </c>
      <c r="AD6" s="192" t="s">
        <v>31</v>
      </c>
      <c r="AE6" s="192" t="s">
        <v>7</v>
      </c>
      <c r="AF6" s="178" t="s">
        <v>18</v>
      </c>
      <c r="AG6" s="178" t="s">
        <v>8</v>
      </c>
      <c r="AH6" s="178" t="s">
        <v>32</v>
      </c>
      <c r="AI6" s="178" t="s">
        <v>33</v>
      </c>
      <c r="AJ6" s="178" t="s">
        <v>9</v>
      </c>
      <c r="AK6" s="190" t="s">
        <v>10</v>
      </c>
      <c r="AL6" s="207" t="s">
        <v>11</v>
      </c>
      <c r="AM6" s="186" t="s">
        <v>10</v>
      </c>
      <c r="AN6" s="186" t="s">
        <v>12</v>
      </c>
      <c r="AO6" s="209" t="s">
        <v>13</v>
      </c>
      <c r="AP6" s="43"/>
      <c r="AQ6" s="43"/>
      <c r="AR6" s="43"/>
      <c r="AS6" s="43"/>
      <c r="AT6" s="43"/>
      <c r="AU6" s="43"/>
      <c r="AV6" s="43"/>
      <c r="AW6" s="43"/>
      <c r="AX6" s="43"/>
      <c r="AY6" s="43"/>
      <c r="AZ6" s="43"/>
      <c r="BA6" s="43"/>
      <c r="BB6" s="43"/>
      <c r="BC6" s="43"/>
      <c r="BD6" s="43"/>
      <c r="BE6" s="43"/>
      <c r="BF6" s="43"/>
      <c r="BG6" s="43"/>
      <c r="BH6" s="43"/>
      <c r="BI6" s="43"/>
      <c r="BJ6" s="43"/>
      <c r="BK6" s="43"/>
      <c r="BL6" s="43"/>
      <c r="BM6" s="43"/>
    </row>
    <row r="7" spans="1:65" s="46" customFormat="1" ht="94.5" customHeight="1" x14ac:dyDescent="0.25">
      <c r="A7" s="71"/>
      <c r="B7" s="185"/>
      <c r="C7" s="177"/>
      <c r="D7" s="179"/>
      <c r="E7" s="177"/>
      <c r="F7" s="177"/>
      <c r="G7" s="177"/>
      <c r="H7" s="187"/>
      <c r="I7" s="187"/>
      <c r="J7" s="189"/>
      <c r="K7" s="187"/>
      <c r="L7" s="187"/>
      <c r="M7" s="189"/>
      <c r="N7" s="189"/>
      <c r="O7" s="187"/>
      <c r="P7" s="195"/>
      <c r="Q7" s="179"/>
      <c r="R7" s="179"/>
      <c r="S7" s="76" t="s">
        <v>34</v>
      </c>
      <c r="T7" s="76" t="s">
        <v>35</v>
      </c>
      <c r="U7" s="76" t="s">
        <v>36</v>
      </c>
      <c r="V7" s="76" t="s">
        <v>37</v>
      </c>
      <c r="W7" s="76" t="s">
        <v>38</v>
      </c>
      <c r="X7" s="76" t="s">
        <v>39</v>
      </c>
      <c r="Y7" s="193"/>
      <c r="Z7" s="193"/>
      <c r="AA7" s="193"/>
      <c r="AB7" s="193"/>
      <c r="AC7" s="193"/>
      <c r="AD7" s="193"/>
      <c r="AE7" s="193"/>
      <c r="AF7" s="179"/>
      <c r="AG7" s="179"/>
      <c r="AH7" s="179"/>
      <c r="AI7" s="179"/>
      <c r="AJ7" s="179"/>
      <c r="AK7" s="191"/>
      <c r="AL7" s="208" t="s">
        <v>11</v>
      </c>
      <c r="AM7" s="187" t="s">
        <v>11</v>
      </c>
      <c r="AN7" s="187" t="s">
        <v>11</v>
      </c>
      <c r="AO7" s="210" t="s">
        <v>11</v>
      </c>
      <c r="AP7" s="45"/>
      <c r="AQ7" s="45"/>
      <c r="AR7" s="45"/>
      <c r="AS7" s="45"/>
      <c r="AT7" s="45"/>
      <c r="AU7" s="45"/>
      <c r="AV7" s="45"/>
      <c r="AW7" s="45"/>
      <c r="AX7" s="45"/>
      <c r="AY7" s="45"/>
      <c r="AZ7" s="45"/>
      <c r="BA7" s="45"/>
      <c r="BB7" s="45"/>
      <c r="BC7" s="45"/>
      <c r="BD7" s="45"/>
      <c r="BE7" s="45"/>
      <c r="BF7" s="45"/>
      <c r="BG7" s="45"/>
      <c r="BH7" s="45"/>
      <c r="BI7" s="45"/>
      <c r="BJ7" s="45"/>
      <c r="BK7" s="45"/>
      <c r="BL7" s="45"/>
      <c r="BM7" s="45"/>
    </row>
    <row r="8" spans="1:65" s="48" customFormat="1" ht="104.25" customHeight="1" x14ac:dyDescent="0.25">
      <c r="B8" s="141" t="s">
        <v>216</v>
      </c>
      <c r="C8" s="172" t="s">
        <v>186</v>
      </c>
      <c r="D8" s="136" t="s">
        <v>217</v>
      </c>
      <c r="E8" s="142" t="s">
        <v>218</v>
      </c>
      <c r="F8" s="142" t="s">
        <v>219</v>
      </c>
      <c r="G8" s="136" t="s">
        <v>220</v>
      </c>
      <c r="H8" s="175" t="s">
        <v>61</v>
      </c>
      <c r="I8" s="139" t="str">
        <f>IF(H8&lt;=0,"",IF(H8="No se ha presentado en los últimos 5 años","Rara vez",IF(H8="Al menos 1 vez en los últimos 5 años","Improbable",IF(H8="Al menos 1 vez en los últimos 2 años","Posible",IF(H8="Al menos 1 vez en el último año","Probable",IF(H8="Más de 1 vez al año","Casi Seguro"))))))</f>
        <v>Rara vez</v>
      </c>
      <c r="J8" s="138">
        <f>IF(I8="","",IF(I8="Rara vez",0.2,IF(I8="Improbable",0.4,IF(I8="Posible",0.6,IF(I8="Probable",0.8,IF(I8="Casi Seguro",1,))))))</f>
        <v>0.2</v>
      </c>
      <c r="K8" s="137" t="s">
        <v>76</v>
      </c>
      <c r="L8" s="138" t="str">
        <f>IF(NOT(ISERROR(MATCH(K8,'[1]Tabla Impacto'!$B$220:$B$222,0))),'[1]Tabla Impacto'!$F$222&amp;"Por favor no seleccionar los criterios de impacto(Criterios para calificar el impacto)",K8)</f>
        <v>Responder afirmativamente de SEIS a ONCE</v>
      </c>
      <c r="M8" s="139" t="str">
        <f>IF(OR(L8='[1]Tabla Impacto'!$C$5),"Moderado",IF(OR(L8='[1]Tabla Impacto'!$C$6),"Mayor",IF(OR(L8='[1]Tabla Impacto'!$C$7),"Catastrófico","")))</f>
        <v>Mayor</v>
      </c>
      <c r="N8" s="138">
        <f>IF(M8="","",IF(M8="Leve",0.2,IF(M8="Menor",0.4,IF(M8="Moderado",0.6,IF(M8="Mayor",0.8,IF(M8="Catastrófico",1,))))))</f>
        <v>0.8</v>
      </c>
      <c r="O8" s="134" t="str">
        <f>IF(OR(AND(I8="Rara vez",M8="Leve"),AND(I8="Rara vez",M8="Menor"),AND(I8="Improbable",M8="Leve")),"Bajo",IF(OR(AND(I8="Rara vez",M8="Moderado"),AND(I8="Improbable",M8="Menor"),AND(I8="Improbable",M8="Moderado"),AND(I8="Posible",M8="Leve"),AND(I8="Posible",M8="Menor"),AND(I8="Posible",M8="Moderado"),AND(I8="Probable",M8="Leve"),AND(I8="Probable",M8="Menor")),"Moderado",IF(OR(AND(I8="Rara vez",M8="Mayor"),AND(I8="Improbable",M8="Mayor"),AND(I8="Posible",M8="Mayor"),AND(I8="Probable",M8="Moderado"),AND(I8="Probable",M8="Mayor"),AND(I8="Casi Seguro",M8="Leve"),AND(I8="Casi Seguro",M8="Menor"),AND(I8="Casi Seguro",M8="Moderado"),AND(I8="Casi Seguro",M8="Mayor")),"Alto",IF(OR(AND(I8="Rara vez",M8="Catastrófico"),AND(I8="Improbable",M8="Catastrófico"),AND(I8="Posible",M8="Catastrófico"),AND(I8="Probable",M8="Catastrófico"),AND(I8="Casi Seguro",M8="Catastrófico")),"Extremo",""))))</f>
        <v>Alto</v>
      </c>
      <c r="P8" s="106">
        <v>1</v>
      </c>
      <c r="Q8" s="115" t="s">
        <v>221</v>
      </c>
      <c r="R8" s="108" t="str">
        <f>IF(OR(S8="Preventivo",S8="Detectivo"),"Probabilidad",IF(S8="Correctivo","Impacto",""))</f>
        <v>Probabilidad</v>
      </c>
      <c r="S8" s="78" t="s">
        <v>144</v>
      </c>
      <c r="T8" s="78" t="s">
        <v>150</v>
      </c>
      <c r="U8" s="109" t="str">
        <f>IF(AND(S8="Preventivo",T8="Automático"),"50%",IF(AND(S8="Preventivo",T8="Manual"),"40%",IF(AND(S8="Detectivo",T8="Automático"),"40%",IF(AND(S8="Detectivo",T8="Manual"),"30%",IF(AND(S8="Correctivo",T8="Automático"),"35%",IF(AND(S8="Correctivo",T8="Manual"),"25%",""))))))</f>
        <v>50%</v>
      </c>
      <c r="V8" s="78" t="s">
        <v>155</v>
      </c>
      <c r="W8" s="78" t="s">
        <v>159</v>
      </c>
      <c r="X8" s="78" t="s">
        <v>163</v>
      </c>
      <c r="Y8" s="110">
        <f>IFERROR(IF(R8="Probabilidad",(J8-(+J8*U8)),IF(R8="Impacto",J8,"")),"")</f>
        <v>0.1</v>
      </c>
      <c r="Z8" s="111" t="str">
        <f>IFERROR(IF(Y8="","",IF(Y8&lt;=0.2,"Rara vez",IF(Y8&lt;=0.4,"Improbable",IF(Y8&lt;=0.6,"Posible",IF(Y8&lt;=0.8,"Probable","Casi Seguro"))))),"")</f>
        <v>Rara vez</v>
      </c>
      <c r="AA8" s="109">
        <f>+Y8</f>
        <v>0.1</v>
      </c>
      <c r="AB8" s="111" t="str">
        <f>IFERROR(IF(AC8="","",IF(AC8&lt;=0.6,"Moderado",IF(AC8&lt;=0.8,"Mayor","Catastrófico"))),"")</f>
        <v>Mayor</v>
      </c>
      <c r="AC8" s="109">
        <f>IFERROR(IF(R8="Impacto",(N8-(+N8*U8)),IF(R8="Probabilidad",N8,"")),"")</f>
        <v>0.8</v>
      </c>
      <c r="AD8" s="77" t="str">
        <f>IFERROR(IF(OR(AND(Z8="Rara vez",AB8="Leve"),AND(Z8="Rara vez",AB8="Menor"),AND(Z8="Improbable",AB8="Leve")),"Bajo",IF(OR(AND(Z8="Rara vez",AB8="Moderado"),AND(Z8="Improbable",AB8="Menor"),AND(Z8="Improbable",AB8="Moderado"),AND(Z8="Posible",AB8="Leve"),AND(Z8="Posible",AB8="Menor"),AND(Z8="Posible",AB8="Moderado"),AND(Z8="Probable",AB8="Leve"),AND(Z8="Probable",AB8="Menor")),"Moderado",IF(OR(AND(Z8="Rara vez",AB8="Mayor"),AND(Z8="Improbable",AB8="Mayor"),AND(Z8="Posible",AB8="Mayor"),AND(Z8="Probable",AB8="Moderado"),AND(Z8="Probable",AB8="Mayor"),AND(Z8="Casi Seguro",AB8="Leve"),AND(Z8="Casi Seguro",AB8="Menor"),AND(Z8="Casi Seguro",AB8="Moderado"),AND(Z8="Casi Seguro",AB8="Mayor")),"Alto",IF(OR(AND(Z8="Rara vez",AB8="Catastrófico"),AND(Z8="Improbable",AB8="Catastrófico"),AND(Z8="Posible",AB8="Catastrófico"),AND(Z8="Probable",AB8="Catastrófico"),AND(Z8="Casi Seguro",AB8="Catastrófico")),"Extremo","")))),"")</f>
        <v>Alto</v>
      </c>
      <c r="AE8" s="78"/>
      <c r="AF8" s="105"/>
      <c r="AG8" s="112"/>
      <c r="AH8" s="113"/>
      <c r="AI8" s="113"/>
      <c r="AJ8" s="105"/>
      <c r="AK8" s="114"/>
      <c r="AL8" s="140">
        <v>45469</v>
      </c>
      <c r="AM8" s="135" t="s">
        <v>222</v>
      </c>
      <c r="AN8" s="134" t="str">
        <f>+O8</f>
        <v>Alto</v>
      </c>
      <c r="AO8" s="393" t="str">
        <f>+AD10</f>
        <v>Moderado</v>
      </c>
      <c r="AP8" s="47"/>
      <c r="AQ8" s="47"/>
      <c r="AR8" s="47"/>
      <c r="AS8" s="47"/>
      <c r="AT8" s="47"/>
      <c r="AU8" s="47"/>
      <c r="AV8" s="47"/>
      <c r="AW8" s="47"/>
      <c r="AX8" s="47"/>
      <c r="AY8" s="47"/>
      <c r="AZ8" s="47"/>
      <c r="BA8" s="47"/>
      <c r="BB8" s="47"/>
      <c r="BC8" s="47"/>
      <c r="BD8" s="47"/>
      <c r="BE8" s="47"/>
      <c r="BF8" s="47"/>
      <c r="BG8" s="47"/>
      <c r="BH8" s="47"/>
      <c r="BI8" s="47"/>
      <c r="BJ8" s="47"/>
      <c r="BK8" s="47"/>
      <c r="BL8" s="47"/>
      <c r="BM8" s="47"/>
    </row>
    <row r="9" spans="1:65" ht="110.25" customHeight="1" x14ac:dyDescent="0.2">
      <c r="B9" s="141"/>
      <c r="C9" s="172"/>
      <c r="D9" s="136"/>
      <c r="E9" s="142"/>
      <c r="F9" s="142"/>
      <c r="G9" s="136"/>
      <c r="H9" s="175"/>
      <c r="I9" s="139"/>
      <c r="J9" s="138"/>
      <c r="K9" s="137"/>
      <c r="L9" s="138">
        <f>IF(NOT(ISERROR(MATCH(K9,_xlfn.ANCHORARRAY(G20),0))),J22&amp;"Por favor no seleccionar los criterios de impacto",K9)</f>
        <v>0</v>
      </c>
      <c r="M9" s="139"/>
      <c r="N9" s="138"/>
      <c r="O9" s="134"/>
      <c r="P9" s="106">
        <v>2</v>
      </c>
      <c r="Q9" s="115" t="s">
        <v>223</v>
      </c>
      <c r="R9" s="108" t="str">
        <f>IF(OR(S9="Preventivo",S9="Detectivo"),"Probabilidad",IF(S9="Correctivo","Impacto",""))</f>
        <v>Probabilidad</v>
      </c>
      <c r="S9" s="78" t="s">
        <v>146</v>
      </c>
      <c r="T9" s="78" t="s">
        <v>152</v>
      </c>
      <c r="U9" s="109" t="str">
        <f t="shared" ref="U9:U13" si="0">IF(AND(S9="Preventivo",T9="Automático"),"50%",IF(AND(S9="Preventivo",T9="Manual"),"40%",IF(AND(S9="Detectivo",T9="Automático"),"40%",IF(AND(S9="Detectivo",T9="Manual"),"30%",IF(AND(S9="Correctivo",T9="Automático"),"35%",IF(AND(S9="Correctivo",T9="Manual"),"25%",""))))))</f>
        <v>30%</v>
      </c>
      <c r="V9" s="78" t="s">
        <v>155</v>
      </c>
      <c r="W9" s="78" t="s">
        <v>159</v>
      </c>
      <c r="X9" s="78" t="s">
        <v>163</v>
      </c>
      <c r="Y9" s="110">
        <f>IFERROR(IF(AND(R8="Probabilidad",R9="Probabilidad"),(AA8-(+AA8*U9)),IF(R9="Probabilidad",(J8-(+J8*U9)),IF(R9="Impacto",AA8,""))),"")</f>
        <v>7.0000000000000007E-2</v>
      </c>
      <c r="Z9" s="111" t="str">
        <f t="shared" ref="Z9:Z13" si="1">IFERROR(IF(Y9="","",IF(Y9&lt;=0.2,"Rara vez",IF(Y9&lt;=0.4,"Improbable",IF(Y9&lt;=0.6,"Posible",IF(Y9&lt;=0.8,"Probable","Casi Seguro"))))),"")</f>
        <v>Rara vez</v>
      </c>
      <c r="AA9" s="109">
        <f t="shared" ref="AA9:AA13" si="2">+Y9</f>
        <v>7.0000000000000007E-2</v>
      </c>
      <c r="AB9" s="111" t="str">
        <f t="shared" ref="AB9:AB13" si="3">IFERROR(IF(AC9="","",IF(AC9&lt;=0.6,"Moderado",IF(AC9&lt;=0.8,"Mayor","Catastrófico"))),"")</f>
        <v>Mayor</v>
      </c>
      <c r="AC9" s="109">
        <f>IFERROR(IF(AND(R8="Impacto",R9="Impacto"),(AC8-(+AC8*U9)),IF(R9="Impacto",(N8-(+N8*U9)),IF(R9="Probabilidad",AC8,""))),"")</f>
        <v>0.8</v>
      </c>
      <c r="AD9" s="77" t="str">
        <f>IFERROR(IF(OR(AND(Z9="Rara vez",AB9="Leve"),AND(Z9="Rara vez",AB9="Menor"),AND(Z9="Improbable",AB9="Leve")),"Bajo",IF(OR(AND(Z9="Rara vez",AB9="Moderado"),AND(Z9="Improbable",AB9="Menor"),AND(Z9="Improbable",AB9="Moderado"),AND(Z9="Posible",AB9="Leve"),AND(Z9="Posible",AB9="Menor"),AND(Z9="Posible",AB9="Moderado"),AND(Z9="Probable",AB9="Leve"),AND(Z9="Probable",AB9="Menor")),"Moderado",IF(OR(AND(Z9="Rara vez",AB9="Mayor"),AND(Z9="Improbable",AB9="Mayor"),AND(Z9="Posible",AB9="Mayor"),AND(Z9="Probable",AB9="Moderado"),AND(Z9="Probable",AB9="Mayor"),AND(Z9="Casi Seguro",AB9="Leve"),AND(Z9="Casi Seguro",AB9="Menor"),AND(Z9="Casi Seguro",AB9="Moderado"),AND(Z9="Casi Seguro",AB9="Mayor")),"Alto",IF(OR(AND(Z9="Rara vez",AB9="Catastrófico"),AND(Z9="Improbable",AB9="Catastrófico"),AND(Z9="Posible",AB9="Catastrófico"),AND(Z9="Probable",AB9="Catastrófico"),AND(Z9="Casi Seguro",AB9="Catastrófico")),"Extremo","")))),"")</f>
        <v>Alto</v>
      </c>
      <c r="AE9" s="78" t="s">
        <v>173</v>
      </c>
      <c r="AF9" s="105" t="s">
        <v>224</v>
      </c>
      <c r="AG9" s="105" t="s">
        <v>225</v>
      </c>
      <c r="AH9" s="113">
        <v>45565</v>
      </c>
      <c r="AI9" s="113"/>
      <c r="AJ9" s="118">
        <v>45596</v>
      </c>
      <c r="AK9" s="114" t="s">
        <v>176</v>
      </c>
      <c r="AL9" s="170"/>
      <c r="AM9" s="136"/>
      <c r="AN9" s="134"/>
      <c r="AO9" s="393"/>
      <c r="AP9" s="43"/>
      <c r="AQ9" s="43"/>
      <c r="AR9" s="43"/>
      <c r="AS9" s="43"/>
      <c r="AT9" s="43"/>
      <c r="AU9" s="43"/>
      <c r="AV9" s="43"/>
      <c r="AW9" s="43"/>
      <c r="AX9" s="43"/>
      <c r="AY9" s="43"/>
      <c r="AZ9" s="43"/>
      <c r="BA9" s="43"/>
      <c r="BB9" s="43"/>
      <c r="BC9" s="43"/>
      <c r="BD9" s="43"/>
      <c r="BE9" s="43"/>
      <c r="BF9" s="43"/>
      <c r="BG9" s="43"/>
      <c r="BH9" s="43"/>
      <c r="BI9" s="43"/>
      <c r="BJ9" s="43"/>
      <c r="BK9" s="43"/>
      <c r="BL9" s="43"/>
      <c r="BM9" s="43"/>
    </row>
    <row r="10" spans="1:65" ht="93" customHeight="1" x14ac:dyDescent="0.2">
      <c r="B10" s="141"/>
      <c r="C10" s="172"/>
      <c r="D10" s="136"/>
      <c r="E10" s="142"/>
      <c r="F10" s="142"/>
      <c r="G10" s="136"/>
      <c r="H10" s="175"/>
      <c r="I10" s="139"/>
      <c r="J10" s="138"/>
      <c r="K10" s="137"/>
      <c r="L10" s="138">
        <f>IF(NOT(ISERROR(MATCH(K10,_xlfn.ANCHORARRAY(G21),0))),J23&amp;"Por favor no seleccionar los criterios de impacto",K10)</f>
        <v>0</v>
      </c>
      <c r="M10" s="139"/>
      <c r="N10" s="138"/>
      <c r="O10" s="134"/>
      <c r="P10" s="106">
        <v>3</v>
      </c>
      <c r="Q10" s="115" t="s">
        <v>226</v>
      </c>
      <c r="R10" s="108" t="str">
        <f t="shared" ref="R10:R13" si="4">IF(OR(S10="Preventivo",S10="Detectivo"),"Probabilidad",IF(S10="Correctivo","Impacto",""))</f>
        <v>Impacto</v>
      </c>
      <c r="S10" s="78" t="s">
        <v>148</v>
      </c>
      <c r="T10" s="78" t="s">
        <v>152</v>
      </c>
      <c r="U10" s="109" t="str">
        <f t="shared" si="0"/>
        <v>25%</v>
      </c>
      <c r="V10" s="78" t="s">
        <v>157</v>
      </c>
      <c r="W10" s="78" t="s">
        <v>159</v>
      </c>
      <c r="X10" s="78" t="s">
        <v>163</v>
      </c>
      <c r="Y10" s="110">
        <f>IFERROR(IF(AND(R9="Probabilidad",R10="Probabilidad"),(AA9-(+AA9*U10)),IF(AND(R9="Impacto",R10="Probabilidad"),(AA8-(+AA8*U10)),IF(R10="Impacto",AA9,""))),"")</f>
        <v>7.0000000000000007E-2</v>
      </c>
      <c r="Z10" s="111" t="str">
        <f t="shared" si="1"/>
        <v>Rara vez</v>
      </c>
      <c r="AA10" s="109">
        <f t="shared" si="2"/>
        <v>7.0000000000000007E-2</v>
      </c>
      <c r="AB10" s="111" t="str">
        <f t="shared" si="3"/>
        <v>Moderado</v>
      </c>
      <c r="AC10" s="109">
        <f>IFERROR(IF(AND(R9="Impacto",R10="Impacto"),(AC9-(+AC9*U10)),IF(AND(R9="Probabilidad",R10="Impacto"),(AC8-(+AC8*U10)),IF(R10="Probabilidad",AC9,""))),"")</f>
        <v>0.60000000000000009</v>
      </c>
      <c r="AD10" s="77" t="str">
        <f>IFERROR(IF(OR(AND(Z10="Rara vez",AB10="Leve"),AND(Z10="Rara vez",AB10="Menor"),AND(Z10="Improbable",AB10="Leve")),"Bajo",IF(OR(AND(Z10="Rara vez",AB10="Moderado"),AND(Z10="Improbable",AB10="Menor"),AND(Z10="Improbable",AB10="Moderado"),AND(Z10="Posible",AB10="Leve"),AND(Z10="Posible",AB10="Menor"),AND(Z10="Posible",AB10="Moderado"),AND(Z10="Probable",AB10="Leve"),AND(Z10="Probable",AB10="Menor")),"Moderado",IF(OR(AND(Z10="Rara vez",AB10="Mayor"),AND(Z10="Improbable",AB10="Mayor"),AND(Z10="Posible",AB10="Mayor"),AND(Z10="Probable",AB10="Moderado"),AND(Z10="Probable",AB10="Mayor"),AND(Z10="Casi Seguro",AB10="Leve"),AND(Z10="Casi Seguro",AB10="Menor"),AND(Z10="Casi Seguro",AB10="Moderado"),AND(Z10="Casi Seguro",AB10="Mayor")),"Alto",IF(OR(AND(Z10="Rara vez",AB10="Catastrófico"),AND(Z10="Improbable",AB10="Catastrófico"),AND(Z10="Posible",AB10="Catastrófico"),AND(Z10="Probable",AB10="Catastrófico"),AND(Z10="Casi Seguro",AB10="Catastrófico")),"Extremo","")))),"")</f>
        <v>Moderado</v>
      </c>
      <c r="AE10" s="78" t="s">
        <v>173</v>
      </c>
      <c r="AF10" s="105" t="s">
        <v>227</v>
      </c>
      <c r="AG10" s="105" t="s">
        <v>228</v>
      </c>
      <c r="AH10" s="113">
        <v>45565</v>
      </c>
      <c r="AI10" s="113"/>
      <c r="AJ10" s="118">
        <v>45596</v>
      </c>
      <c r="AK10" s="114" t="s">
        <v>176</v>
      </c>
      <c r="AL10" s="170"/>
      <c r="AM10" s="136"/>
      <c r="AN10" s="134"/>
      <c r="AO10" s="39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row>
    <row r="11" spans="1:65" x14ac:dyDescent="0.2">
      <c r="B11" s="141"/>
      <c r="C11" s="172"/>
      <c r="D11" s="136"/>
      <c r="E11" s="142"/>
      <c r="F11" s="142"/>
      <c r="G11" s="136"/>
      <c r="H11" s="175"/>
      <c r="I11" s="139"/>
      <c r="J11" s="138"/>
      <c r="K11" s="137"/>
      <c r="L11" s="138">
        <f>IF(NOT(ISERROR(MATCH(K11,_xlfn.ANCHORARRAY(G22),0))),J24&amp;"Por favor no seleccionar los criterios de impacto",K11)</f>
        <v>0</v>
      </c>
      <c r="M11" s="139"/>
      <c r="N11" s="138"/>
      <c r="O11" s="134"/>
      <c r="P11" s="106">
        <v>4</v>
      </c>
      <c r="Q11" s="115"/>
      <c r="R11" s="108" t="str">
        <f t="shared" si="4"/>
        <v/>
      </c>
      <c r="S11" s="78"/>
      <c r="T11" s="78"/>
      <c r="U11" s="109" t="str">
        <f t="shared" si="0"/>
        <v/>
      </c>
      <c r="V11" s="78"/>
      <c r="W11" s="78"/>
      <c r="X11" s="78"/>
      <c r="Y11" s="110" t="str">
        <f t="shared" ref="Y11:Y13" si="5">IFERROR(IF(AND(R10="Probabilidad",R11="Probabilidad"),(AA10-(+AA10*U11)),IF(AND(R10="Impacto",R11="Probabilidad"),(AA9-(+AA9*U11)),IF(R11="Impacto",AA10,""))),"")</f>
        <v/>
      </c>
      <c r="Z11" s="111" t="str">
        <f t="shared" ref="Z11" si="6">IFERROR(IF(Y11="","",IF(Y11&lt;=0.2,"Muy Baja",IF(Y11&lt;=0.4,"Baja",IF(Y11&lt;=0.6,"Media",IF(Y11&lt;=0.8,"Alta","Muy Alta"))))),"")</f>
        <v/>
      </c>
      <c r="AA11" s="109" t="str">
        <f t="shared" si="2"/>
        <v/>
      </c>
      <c r="AB11" s="111" t="str">
        <f t="shared" ref="AB11" si="7">IFERROR(IF(AC11="","",IF(AC11&lt;=0.2,"Leve",IF(AC11&lt;=0.4,"Menor",IF(AC11&lt;=0.6,"Moderado",IF(AC11&lt;=0.8,"Mayor","Catastrófico"))))),"")</f>
        <v/>
      </c>
      <c r="AC11" s="109" t="str">
        <f t="shared" ref="AC11:AC13" si="8">IFERROR(IF(AND(R10="Impacto",R11="Impacto"),(AC10-(+AC10*U11)),IF(AND(R10="Probabilidad",R11="Impacto"),(AC9-(+AC9*U11)),IF(R11="Probabilidad",AC10,""))),"")</f>
        <v/>
      </c>
      <c r="AD11" s="77" t="str">
        <f>IFERROR(IF(OR(AND(Z11="Muy Baja",AB11="Leve"),AND(Z11="Muy Baja",AB11="Menor"),AND(Z11="Baja",AB11="Leve")),"Bajo",IF(OR(AND(Z11="Muy baja",AB11="Moderado"),AND(Z11="Baja",AB11="Menor"),AND(Z11="Baja",AB11="Moderado"),AND(Z11="Media",AB11="Leve"),AND(Z11="Media",AB11="Menor"),AND(Z11="Media",AB11="Moderado"),AND(Z11="Alta",AB11="Leve"),AND(Z11="Alta",AB11="Menor")),"Moderado",IF(OR(AND(Z11="Muy Baja",AB11="Mayor"),AND(Z11="Baja",AB11="Mayor"),AND(Z11="Media",AB11="Mayor"),AND(Z11="Alta",AB11="Moderado"),AND(Z11="Alta",AB11="Mayor"),AND(Z11="Muy Alta",AB11="Leve"),AND(Z11="Muy Alta",AB11="Menor"),AND(Z11="Muy Alta",AB11="Moderado"),AND(Z11="Muy Alta",AB11="Mayor")),"Alto",IF(OR(AND(Z11="Muy Baja",AB11="Catastrófico"),AND(Z11="Baja",AB11="Catastrófico"),AND(Z11="Media",AB11="Catastrófico"),AND(Z11="Alta",AB11="Catastrófico"),AND(Z11="Muy Alta",AB11="Catastrófico")),"Extremo","")))),"")</f>
        <v/>
      </c>
      <c r="AE11" s="78"/>
      <c r="AF11" s="105"/>
      <c r="AG11" s="112"/>
      <c r="AH11" s="113"/>
      <c r="AI11" s="113"/>
      <c r="AJ11" s="105"/>
      <c r="AK11" s="114"/>
      <c r="AL11" s="170"/>
      <c r="AM11" s="136"/>
      <c r="AN11" s="134"/>
      <c r="AO11" s="393"/>
      <c r="AP11" s="43"/>
      <c r="AQ11" s="43"/>
      <c r="AR11" s="43"/>
      <c r="AS11" s="43"/>
      <c r="AT11" s="43"/>
      <c r="AU11" s="43"/>
      <c r="AV11" s="43"/>
      <c r="AW11" s="43"/>
      <c r="AX11" s="43"/>
      <c r="AY11" s="43"/>
      <c r="AZ11" s="43"/>
      <c r="BA11" s="43"/>
      <c r="BB11" s="43"/>
      <c r="BC11" s="43"/>
      <c r="BD11" s="43"/>
      <c r="BE11" s="43"/>
      <c r="BF11" s="43"/>
      <c r="BG11" s="43"/>
      <c r="BH11" s="43"/>
      <c r="BI11" s="43"/>
      <c r="BJ11" s="43"/>
      <c r="BK11" s="43"/>
      <c r="BL11" s="43"/>
      <c r="BM11" s="43"/>
    </row>
    <row r="12" spans="1:65" x14ac:dyDescent="0.2">
      <c r="B12" s="141"/>
      <c r="C12" s="172"/>
      <c r="D12" s="136"/>
      <c r="E12" s="142"/>
      <c r="F12" s="142"/>
      <c r="G12" s="136"/>
      <c r="H12" s="175"/>
      <c r="I12" s="139"/>
      <c r="J12" s="138"/>
      <c r="K12" s="137"/>
      <c r="L12" s="138">
        <f>IF(NOT(ISERROR(MATCH(K12,_xlfn.ANCHORARRAY(G23),0))),J25&amp;"Por favor no seleccionar los criterios de impacto",K12)</f>
        <v>0</v>
      </c>
      <c r="M12" s="139"/>
      <c r="N12" s="138"/>
      <c r="O12" s="134"/>
      <c r="P12" s="106">
        <v>5</v>
      </c>
      <c r="Q12" s="115"/>
      <c r="R12" s="108" t="str">
        <f t="shared" si="4"/>
        <v/>
      </c>
      <c r="S12" s="78"/>
      <c r="T12" s="78"/>
      <c r="U12" s="109" t="str">
        <f t="shared" si="0"/>
        <v/>
      </c>
      <c r="V12" s="78"/>
      <c r="W12" s="78"/>
      <c r="X12" s="78"/>
      <c r="Y12" s="110" t="str">
        <f t="shared" si="5"/>
        <v/>
      </c>
      <c r="Z12" s="111" t="str">
        <f t="shared" si="1"/>
        <v/>
      </c>
      <c r="AA12" s="109" t="str">
        <f t="shared" si="2"/>
        <v/>
      </c>
      <c r="AB12" s="111" t="str">
        <f t="shared" si="3"/>
        <v/>
      </c>
      <c r="AC12" s="109" t="str">
        <f t="shared" si="8"/>
        <v/>
      </c>
      <c r="AD12" s="77" t="str">
        <f t="shared" ref="AD12:AD13" si="9">IFERROR(IF(OR(AND(Z12="Muy Baja",AB12="Leve"),AND(Z12="Muy Baja",AB12="Menor"),AND(Z12="Baja",AB12="Leve")),"Bajo",IF(OR(AND(Z12="Muy baja",AB12="Moderado"),AND(Z12="Baja",AB12="Menor"),AND(Z12="Baja",AB12="Moderado"),AND(Z12="Media",AB12="Leve"),AND(Z12="Media",AB12="Menor"),AND(Z12="Media",AB12="Moderado"),AND(Z12="Alta",AB12="Leve"),AND(Z12="Alta",AB12="Menor")),"Moderado",IF(OR(AND(Z12="Muy Baja",AB12="Mayor"),AND(Z12="Baja",AB12="Mayor"),AND(Z12="Media",AB12="Mayor"),AND(Z12="Alta",AB12="Moderado"),AND(Z12="Alta",AB12="Mayor"),AND(Z12="Muy Alta",AB12="Leve"),AND(Z12="Muy Alta",AB12="Menor"),AND(Z12="Muy Alta",AB12="Moderado"),AND(Z12="Muy Alta",AB12="Mayor")),"Alto",IF(OR(AND(Z12="Muy Baja",AB12="Catastrófico"),AND(Z12="Baja",AB12="Catastrófico"),AND(Z12="Media",AB12="Catastrófico"),AND(Z12="Alta",AB12="Catastrófico"),AND(Z12="Muy Alta",AB12="Catastrófico")),"Extremo","")))),"")</f>
        <v/>
      </c>
      <c r="AE12" s="78"/>
      <c r="AF12" s="105"/>
      <c r="AG12" s="112"/>
      <c r="AH12" s="113"/>
      <c r="AI12" s="113"/>
      <c r="AJ12" s="105"/>
      <c r="AK12" s="114"/>
      <c r="AL12" s="170"/>
      <c r="AM12" s="136"/>
      <c r="AN12" s="134"/>
      <c r="AO12" s="393"/>
      <c r="AP12" s="43"/>
      <c r="AQ12" s="43"/>
      <c r="AR12" s="43"/>
      <c r="AS12" s="43"/>
      <c r="AT12" s="43"/>
      <c r="AU12" s="43"/>
      <c r="AV12" s="43"/>
      <c r="AW12" s="43"/>
      <c r="AX12" s="43"/>
      <c r="AY12" s="43"/>
      <c r="AZ12" s="43"/>
      <c r="BA12" s="43"/>
      <c r="BB12" s="43"/>
      <c r="BC12" s="43"/>
      <c r="BD12" s="43"/>
      <c r="BE12" s="43"/>
      <c r="BF12" s="43"/>
      <c r="BG12" s="43"/>
      <c r="BH12" s="43"/>
      <c r="BI12" s="43"/>
      <c r="BJ12" s="43"/>
      <c r="BK12" s="43"/>
      <c r="BL12" s="43"/>
      <c r="BM12" s="43"/>
    </row>
    <row r="13" spans="1:65" x14ac:dyDescent="0.2">
      <c r="B13" s="141"/>
      <c r="C13" s="172"/>
      <c r="D13" s="136"/>
      <c r="E13" s="142"/>
      <c r="F13" s="142"/>
      <c r="G13" s="136"/>
      <c r="H13" s="175"/>
      <c r="I13" s="139"/>
      <c r="J13" s="138"/>
      <c r="K13" s="137"/>
      <c r="L13" s="138">
        <f>IF(NOT(ISERROR(MATCH(K13,_xlfn.ANCHORARRAY(G24),0))),J26&amp;"Por favor no seleccionar los criterios de impacto",K13)</f>
        <v>0</v>
      </c>
      <c r="M13" s="139"/>
      <c r="N13" s="138"/>
      <c r="O13" s="134"/>
      <c r="P13" s="106">
        <v>6</v>
      </c>
      <c r="Q13" s="115"/>
      <c r="R13" s="108" t="str">
        <f t="shared" si="4"/>
        <v/>
      </c>
      <c r="S13" s="78"/>
      <c r="T13" s="78"/>
      <c r="U13" s="109" t="str">
        <f t="shared" si="0"/>
        <v/>
      </c>
      <c r="V13" s="78"/>
      <c r="W13" s="78"/>
      <c r="X13" s="78"/>
      <c r="Y13" s="110" t="str">
        <f t="shared" si="5"/>
        <v/>
      </c>
      <c r="Z13" s="111" t="str">
        <f t="shared" si="1"/>
        <v/>
      </c>
      <c r="AA13" s="109" t="str">
        <f t="shared" si="2"/>
        <v/>
      </c>
      <c r="AB13" s="111" t="str">
        <f t="shared" si="3"/>
        <v/>
      </c>
      <c r="AC13" s="109" t="str">
        <f t="shared" si="8"/>
        <v/>
      </c>
      <c r="AD13" s="77" t="str">
        <f t="shared" si="9"/>
        <v/>
      </c>
      <c r="AE13" s="78"/>
      <c r="AF13" s="105"/>
      <c r="AG13" s="112"/>
      <c r="AH13" s="113"/>
      <c r="AI13" s="113"/>
      <c r="AJ13" s="105"/>
      <c r="AK13" s="114"/>
      <c r="AL13" s="170"/>
      <c r="AM13" s="136"/>
      <c r="AN13" s="134"/>
      <c r="AO13" s="39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row>
    <row r="14" spans="1:65" ht="164.25" customHeight="1" x14ac:dyDescent="0.2">
      <c r="B14" s="141" t="s">
        <v>229</v>
      </c>
      <c r="C14" s="142" t="s">
        <v>205</v>
      </c>
      <c r="D14" s="136" t="s">
        <v>230</v>
      </c>
      <c r="E14" s="142" t="s">
        <v>231</v>
      </c>
      <c r="F14" s="142" t="s">
        <v>232</v>
      </c>
      <c r="G14" s="136" t="s">
        <v>233</v>
      </c>
      <c r="H14" s="142" t="s">
        <v>61</v>
      </c>
      <c r="I14" s="139" t="str">
        <f>IF(H14&lt;=0,"",IF(H14="No se ha presentado en los últimos 5 años","Rara vez",IF(H14="Al menos 1 vez en los últimos 5 años","Improbable",IF(H14="Al menos 1 vez en los últimos 2 años","Posible",IF(H14="Al menos 1 vez en el último año","Probable",IF(H14="Más de 1 vez al año","Casi Seguro"))))))</f>
        <v>Rara vez</v>
      </c>
      <c r="J14" s="138">
        <f>IF(I14="","",IF(I14="Rara vez",0.2,IF(I14="Improbable",0.4,IF(I14="Posible",0.6,IF(I14="Probable",0.8,IF(I14="Casi Seguro",1,))))))</f>
        <v>0.2</v>
      </c>
      <c r="K14" s="137" t="s">
        <v>82</v>
      </c>
      <c r="L14" s="138" t="str">
        <f>IF(NOT(ISERROR(MATCH(K14,'[2]Tabla Impacto'!$B$220:$B$222,0))),'[2]Tabla Impacto'!$F$222&amp;"Por favor no seleccionar los criterios de impacto(Criterios para calificar el impacto)",K14)</f>
        <v xml:space="preserve">Responder afirmativamente de DOCE a DIECINUEVE </v>
      </c>
      <c r="M14" s="139" t="str">
        <f>IF(OR(L14='[2]Tabla Impacto'!$C$5),"Moderado",IF(OR(L14='[2]Tabla Impacto'!$C$6),"Mayor",IF(OR(L14='[2]Tabla Impacto'!$C$7),"Catastrófico","")))</f>
        <v>Catastrófico</v>
      </c>
      <c r="N14" s="138">
        <f>IF(M14="","",IF(M14="Leve",0.2,IF(M14="Menor",0.4,IF(M14="Moderado",0.6,IF(M14="Mayor",0.8,IF(M14="Catastrófico",1,))))))</f>
        <v>1</v>
      </c>
      <c r="O14" s="134" t="str">
        <f>IF(OR(AND(I14="Rara vez",M14="Leve"),AND(I14="Rara vez",M14="Menor"),AND(I14="Improbable",M14="Leve")),"Bajo",IF(OR(AND(I14="Rara vez",M14="Moderado"),AND(I14="Improbable",M14="Menor"),AND(I14="Improbable",M14="Moderado"),AND(I14="Posible",M14="Leve"),AND(I14="Posible",M14="Menor"),AND(I14="Posible",M14="Moderado"),AND(I14="Probable",M14="Leve"),AND(I14="Probable",M14="Menor")),"Moderado",IF(OR(AND(I14="Rara vez",M14="Mayor"),AND(I14="Improbable",M14="Mayor"),AND(I14="Posible",M14="Mayor"),AND(I14="Probable",M14="Moderado"),AND(I14="Probable",M14="Mayor"),AND(I14="Casi Seguro",M14="Leve"),AND(I14="Casi Seguro",M14="Menor"),AND(I14="Casi Seguro",M14="Moderado"),AND(I14="Casi Seguro",M14="Mayor")),"Alto",IF(OR(AND(I14="Rara vez",M14="Catastrófico"),AND(I14="Improbable",M14="Catastrófico"),AND(I14="Posible",M14="Catastrófico"),AND(I14="Probable",M14="Catastrófico"),AND(I14="Casi Seguro",M14="Catastrófico")),"Extremo",""))))</f>
        <v>Extremo</v>
      </c>
      <c r="P14" s="106">
        <v>1</v>
      </c>
      <c r="Q14" s="115" t="s">
        <v>234</v>
      </c>
      <c r="R14" s="108" t="str">
        <f>IF(OR(S14="Preventivo",S14="Detectivo"),"Probabilidad",IF(S14="Correctivo","Impacto",""))</f>
        <v>Probabilidad</v>
      </c>
      <c r="S14" s="78" t="s">
        <v>144</v>
      </c>
      <c r="T14" s="78" t="s">
        <v>152</v>
      </c>
      <c r="U14" s="109" t="str">
        <f>IF(AND(S14="Preventivo",T14="Automático"),"50%",IF(AND(S14="Preventivo",T14="Manual"),"40%",IF(AND(S14="Detectivo",T14="Automático"),"40%",IF(AND(S14="Detectivo",T14="Manual"),"30%",IF(AND(S14="Correctivo",T14="Automático"),"35%",IF(AND(S14="Correctivo",T14="Manual"),"25%",""))))))</f>
        <v>40%</v>
      </c>
      <c r="V14" s="78" t="s">
        <v>155</v>
      </c>
      <c r="W14" s="78" t="s">
        <v>159</v>
      </c>
      <c r="X14" s="78" t="s">
        <v>163</v>
      </c>
      <c r="Y14" s="110">
        <f>IFERROR(IF(R14="Probabilidad",(J14-(+J14*U14)),IF(R14="Impacto",J14,"")),"")</f>
        <v>0.12</v>
      </c>
      <c r="Z14" s="111" t="str">
        <f>IFERROR(IF(Y14="","",IF(Y14&lt;=0.2,"Rara vez",IF(Y14&lt;=0.4,"Improbable",IF(Y14&lt;=0.6,"Posible",IF(Y14&lt;=0.8,"Probable","Casi Seguro"))))),"")</f>
        <v>Rara vez</v>
      </c>
      <c r="AA14" s="109">
        <f>+Y14</f>
        <v>0.12</v>
      </c>
      <c r="AB14" s="111" t="str">
        <f>IFERROR(IF(AC14="","",IF(AC14&lt;=0.6,"Moderado",IF(AC14&lt;=0.8,"Mayor","Catastrófico"))),"")</f>
        <v>Catastrófico</v>
      </c>
      <c r="AC14" s="109">
        <f>IFERROR(IF(R14="Impacto",(N14-(+N14*U14)),IF(R14="Probabilidad",N14,"")),"")</f>
        <v>1</v>
      </c>
      <c r="AD14" s="77" t="str">
        <f>IFERROR(IF(OR(AND(Z14="Rara vez",AB14="Leve"),AND(Z14="Rara vez",AB14="Menor"),AND(Z14="Improbable",AB14="Leve")),"Bajo",IF(OR(AND(Z14="Rara vez",AB14="Moderado"),AND(Z14="Improbable",AB14="Menor"),AND(Z14="Improbable",AB14="Moderado"),AND(Z14="Posible",AB14="Leve"),AND(Z14="Posible",AB14="Menor"),AND(Z14="Posible",AB14="Moderado"),AND(Z14="Probable",AB14="Leve"),AND(Z14="Probable",AB14="Menor")),"Moderado",IF(OR(AND(Z14="Rara vez",AB14="Mayor"),AND(Z14="Improbable",AB14="Mayor"),AND(Z14="Posible",AB14="Mayor"),AND(Z14="Probable",AB14="Moderado"),AND(Z14="Probable",AB14="Mayor"),AND(Z14="Casi Seguro",AB14="Leve"),AND(Z14="Casi Seguro",AB14="Menor"),AND(Z14="Casi Seguro",AB14="Moderado"),AND(Z14="Casi Seguro",AB14="Mayor")),"Alto",IF(OR(AND(Z14="Rara vez",AB14="Catastrófico"),AND(Z14="Improbable",AB14="Catastrófico"),AND(Z14="Posible",AB14="Catastrófico"),AND(Z14="Probable",AB14="Catastrófico"),AND(Z14="Casi Seguro",AB14="Catastrófico")),"Extremo","")))),"")</f>
        <v>Extremo</v>
      </c>
      <c r="AE14" s="78"/>
      <c r="AF14" s="105"/>
      <c r="AG14" s="112"/>
      <c r="AH14" s="113"/>
      <c r="AI14" s="113"/>
      <c r="AJ14" s="105"/>
      <c r="AK14" s="114"/>
      <c r="AL14" s="140">
        <v>44917</v>
      </c>
      <c r="AM14" s="135" t="s">
        <v>222</v>
      </c>
      <c r="AN14" s="134" t="str">
        <f>+O14</f>
        <v>Extremo</v>
      </c>
      <c r="AO14" s="393" t="str">
        <f>+AD16</f>
        <v>Alto</v>
      </c>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row>
    <row r="15" spans="1:65" ht="126" customHeight="1" x14ac:dyDescent="0.2">
      <c r="B15" s="141"/>
      <c r="C15" s="142"/>
      <c r="D15" s="136"/>
      <c r="E15" s="142"/>
      <c r="F15" s="142"/>
      <c r="G15" s="136"/>
      <c r="H15" s="142"/>
      <c r="I15" s="139"/>
      <c r="J15" s="138"/>
      <c r="K15" s="137"/>
      <c r="L15" s="138">
        <f>IF(NOT(ISERROR(MATCH(K15,_xlfn.ANCHORARRAY(G26),0))),J28&amp;"Por favor no seleccionar los criterios de impacto",K15)</f>
        <v>0</v>
      </c>
      <c r="M15" s="139"/>
      <c r="N15" s="138"/>
      <c r="O15" s="134"/>
      <c r="P15" s="106">
        <v>2</v>
      </c>
      <c r="Q15" s="115" t="s">
        <v>235</v>
      </c>
      <c r="R15" s="108" t="str">
        <f>IF(OR(S15="Preventivo",S15="Detectivo"),"Probabilidad",IF(S15="Correctivo","Impacto",""))</f>
        <v>Probabilidad</v>
      </c>
      <c r="S15" s="78" t="s">
        <v>144</v>
      </c>
      <c r="T15" s="78" t="s">
        <v>152</v>
      </c>
      <c r="U15" s="109" t="str">
        <f t="shared" ref="U15:U19" si="10">IF(AND(S15="Preventivo",T15="Automático"),"50%",IF(AND(S15="Preventivo",T15="Manual"),"40%",IF(AND(S15="Detectivo",T15="Automático"),"40%",IF(AND(S15="Detectivo",T15="Manual"),"30%",IF(AND(S15="Correctivo",T15="Automático"),"35%",IF(AND(S15="Correctivo",T15="Manual"),"25%",""))))))</f>
        <v>40%</v>
      </c>
      <c r="V15" s="78" t="s">
        <v>155</v>
      </c>
      <c r="W15" s="78" t="s">
        <v>159</v>
      </c>
      <c r="X15" s="78" t="s">
        <v>163</v>
      </c>
      <c r="Y15" s="110">
        <f>IFERROR(IF(AND(R14="Probabilidad",R15="Probabilidad"),(AA14-(+AA14*U15)),IF(R15="Probabilidad",(J14-(+J14*U15)),IF(R15="Impacto",AA14,""))),"")</f>
        <v>7.1999999999999995E-2</v>
      </c>
      <c r="Z15" s="111" t="str">
        <f t="shared" ref="Z15:Z19" si="11">IFERROR(IF(Y15="","",IF(Y15&lt;=0.2,"Rara vez",IF(Y15&lt;=0.4,"Improbable",IF(Y15&lt;=0.6,"Posible",IF(Y15&lt;=0.8,"Probable","Casi Seguro"))))),"")</f>
        <v>Rara vez</v>
      </c>
      <c r="AA15" s="109">
        <f t="shared" ref="AA15:AA19" si="12">+Y15</f>
        <v>7.1999999999999995E-2</v>
      </c>
      <c r="AB15" s="111" t="str">
        <f t="shared" ref="AB15:AB19" si="13">IFERROR(IF(AC15="","",IF(AC15&lt;=0.6,"Moderado",IF(AC15&lt;=0.8,"Mayor","Catastrófico"))),"")</f>
        <v>Catastrófico</v>
      </c>
      <c r="AC15" s="109">
        <f>IFERROR(IF(AND(R14="Impacto",R15="Impacto"),(AC14-(+AC14*U15)),IF(R15="Impacto",(N14-(+N14*U15)),IF(R15="Probabilidad",AC14,""))),"")</f>
        <v>1</v>
      </c>
      <c r="AD15" s="77" t="str">
        <f>IFERROR(IF(OR(AND(Z15="Rara vez",AB15="Leve"),AND(Z15="Rara vez",AB15="Menor"),AND(Z15="Improbable",AB15="Leve")),"Bajo",IF(OR(AND(Z15="Rara vez",AB15="Moderado"),AND(Z15="Improbable",AB15="Menor"),AND(Z15="Improbable",AB15="Moderado"),AND(Z15="Posible",AB15="Leve"),AND(Z15="Posible",AB15="Menor"),AND(Z15="Posible",AB15="Moderado"),AND(Z15="Probable",AB15="Leve"),AND(Z15="Probable",AB15="Menor")),"Moderado",IF(OR(AND(Z15="Rara vez",AB15="Mayor"),AND(Z15="Improbable",AB15="Mayor"),AND(Z15="Posible",AB15="Mayor"),AND(Z15="Probable",AB15="Moderado"),AND(Z15="Probable",AB15="Mayor"),AND(Z15="Casi Seguro",AB15="Leve"),AND(Z15="Casi Seguro",AB15="Menor"),AND(Z15="Casi Seguro",AB15="Moderado"),AND(Z15="Casi Seguro",AB15="Mayor")),"Alto",IF(OR(AND(Z15="Rara vez",AB15="Catastrófico"),AND(Z15="Improbable",AB15="Catastrófico"),AND(Z15="Posible",AB15="Catastrófico"),AND(Z15="Probable",AB15="Catastrófico"),AND(Z15="Casi Seguro",AB15="Catastrófico")),"Extremo","")))),"")</f>
        <v>Extremo</v>
      </c>
      <c r="AE15" s="78"/>
      <c r="AF15" s="105"/>
      <c r="AG15" s="112"/>
      <c r="AH15" s="113"/>
      <c r="AI15" s="113"/>
      <c r="AJ15" s="105"/>
      <c r="AK15" s="114"/>
      <c r="AL15" s="170"/>
      <c r="AM15" s="136"/>
      <c r="AN15" s="134"/>
      <c r="AO15" s="393"/>
      <c r="AP15" s="43"/>
      <c r="AQ15" s="43"/>
      <c r="AR15" s="43"/>
      <c r="AS15" s="43"/>
      <c r="AT15" s="43"/>
      <c r="AU15" s="43"/>
      <c r="AV15" s="43"/>
      <c r="AW15" s="43"/>
      <c r="AX15" s="43"/>
      <c r="AY15" s="43"/>
      <c r="AZ15" s="43"/>
      <c r="BA15" s="43"/>
      <c r="BB15" s="43"/>
      <c r="BC15" s="43"/>
      <c r="BD15" s="43"/>
      <c r="BE15" s="43"/>
      <c r="BF15" s="43"/>
      <c r="BG15" s="43"/>
      <c r="BH15" s="43"/>
      <c r="BI15" s="43"/>
      <c r="BJ15" s="43"/>
      <c r="BK15" s="43"/>
      <c r="BL15" s="43"/>
      <c r="BM15" s="43"/>
    </row>
    <row r="16" spans="1:65" ht="126" customHeight="1" x14ac:dyDescent="0.2">
      <c r="B16" s="141"/>
      <c r="C16" s="142"/>
      <c r="D16" s="136"/>
      <c r="E16" s="142"/>
      <c r="F16" s="142"/>
      <c r="G16" s="136"/>
      <c r="H16" s="142"/>
      <c r="I16" s="139"/>
      <c r="J16" s="138"/>
      <c r="K16" s="137"/>
      <c r="L16" s="138">
        <f>IF(NOT(ISERROR(MATCH(K16,_xlfn.ANCHORARRAY(G27),0))),J29&amp;"Por favor no seleccionar los criterios de impacto",K16)</f>
        <v>0</v>
      </c>
      <c r="M16" s="139"/>
      <c r="N16" s="138"/>
      <c r="O16" s="134"/>
      <c r="P16" s="106">
        <v>3</v>
      </c>
      <c r="Q16" s="115" t="s">
        <v>236</v>
      </c>
      <c r="R16" s="108" t="str">
        <f>IF(OR(S16="Preventivo",S16="Detectivo"),"Probabilidad",IF(S16="Correctivo","Impacto",""))</f>
        <v>Impacto</v>
      </c>
      <c r="S16" s="78" t="s">
        <v>148</v>
      </c>
      <c r="T16" s="78" t="s">
        <v>152</v>
      </c>
      <c r="U16" s="109" t="str">
        <f t="shared" si="10"/>
        <v>25%</v>
      </c>
      <c r="V16" s="78" t="s">
        <v>155</v>
      </c>
      <c r="W16" s="78" t="s">
        <v>159</v>
      </c>
      <c r="X16" s="78" t="s">
        <v>163</v>
      </c>
      <c r="Y16" s="110">
        <f>IFERROR(IF(AND(R15="Probabilidad",R16="Probabilidad"),(AA15-(+AA15*U16)),IF(AND(R15="Impacto",R16="Probabilidad"),(AA14-(+AA14*U16)),IF(R16="Impacto",AA15,""))),"")</f>
        <v>7.1999999999999995E-2</v>
      </c>
      <c r="Z16" s="111" t="str">
        <f t="shared" si="11"/>
        <v>Rara vez</v>
      </c>
      <c r="AA16" s="109">
        <f t="shared" si="12"/>
        <v>7.1999999999999995E-2</v>
      </c>
      <c r="AB16" s="111" t="str">
        <f t="shared" si="13"/>
        <v>Mayor</v>
      </c>
      <c r="AC16" s="109">
        <f>IFERROR(IF(AND(R15="Impacto",R16="Impacto"),(AC15-(+AC15*U16)),IF(AND(R15="Probabilidad",R16="Impacto"),(AC14-(+AC14*U16)),IF(R16="Probabilidad",AC15,""))),"")</f>
        <v>0.75</v>
      </c>
      <c r="AD16" s="77" t="str">
        <f>IFERROR(IF(OR(AND(Z16="Rara vez",AB16="Leve"),AND(Z16="Rara vez",AB16="Menor"),AND(Z16="Improbable",AB16="Leve")),"Bajo",IF(OR(AND(Z16="Rara vez",AB16="Moderado"),AND(Z16="Improbable",AB16="Menor"),AND(Z16="Improbable",AB16="Moderado"),AND(Z16="Posible",AB16="Leve"),AND(Z16="Posible",AB16="Menor"),AND(Z16="Posible",AB16="Moderado"),AND(Z16="Probable",AB16="Leve"),AND(Z16="Probable",AB16="Menor")),"Moderado",IF(OR(AND(Z16="Rara vez",AB16="Mayor"),AND(Z16="Improbable",AB16="Mayor"),AND(Z16="Posible",AB16="Mayor"),AND(Z16="Probable",AB16="Moderado"),AND(Z16="Probable",AB16="Mayor"),AND(Z16="Casi Seguro",AB16="Leve"),AND(Z16="Casi Seguro",AB16="Menor"),AND(Z16="Casi Seguro",AB16="Moderado"),AND(Z16="Casi Seguro",AB16="Mayor")),"Alto",IF(OR(AND(Z16="Rara vez",AB16="Catastrófico"),AND(Z16="Improbable",AB16="Catastrófico"),AND(Z16="Posible",AB16="Catastrófico"),AND(Z16="Probable",AB16="Catastrófico"),AND(Z16="Casi Seguro",AB16="Catastrófico")),"Extremo","")))),"")</f>
        <v>Alto</v>
      </c>
      <c r="AE16" s="78" t="s">
        <v>173</v>
      </c>
      <c r="AF16" s="105" t="s">
        <v>237</v>
      </c>
      <c r="AG16" s="131" t="s">
        <v>238</v>
      </c>
      <c r="AH16" s="118">
        <v>45657</v>
      </c>
      <c r="AI16" s="118">
        <v>45688</v>
      </c>
      <c r="AJ16" s="105"/>
      <c r="AK16" s="114" t="s">
        <v>176</v>
      </c>
      <c r="AL16" s="170"/>
      <c r="AM16" s="136"/>
      <c r="AN16" s="134"/>
      <c r="AO16" s="39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row>
    <row r="17" spans="2:65" x14ac:dyDescent="0.2">
      <c r="B17" s="141"/>
      <c r="C17" s="142"/>
      <c r="D17" s="136"/>
      <c r="E17" s="142"/>
      <c r="F17" s="142"/>
      <c r="G17" s="136"/>
      <c r="H17" s="142"/>
      <c r="I17" s="139"/>
      <c r="J17" s="138"/>
      <c r="K17" s="137"/>
      <c r="L17" s="138">
        <f>IF(NOT(ISERROR(MATCH(K17,_xlfn.ANCHORARRAY(G28),0))),J30&amp;"Por favor no seleccionar los criterios de impacto",K17)</f>
        <v>0</v>
      </c>
      <c r="M17" s="139"/>
      <c r="N17" s="138"/>
      <c r="O17" s="134"/>
      <c r="P17" s="106">
        <v>4</v>
      </c>
      <c r="Q17" s="115"/>
      <c r="R17" s="108" t="str">
        <f t="shared" ref="R17:R19" si="14">IF(OR(S17="Preventivo",S17="Detectivo"),"Probabilidad",IF(S17="Correctivo","Impacto",""))</f>
        <v/>
      </c>
      <c r="S17" s="78"/>
      <c r="T17" s="78"/>
      <c r="U17" s="109" t="str">
        <f t="shared" si="10"/>
        <v/>
      </c>
      <c r="V17" s="78"/>
      <c r="W17" s="78"/>
      <c r="X17" s="78"/>
      <c r="Y17" s="110" t="str">
        <f t="shared" ref="Y17:Y19" si="15">IFERROR(IF(AND(R16="Probabilidad",R17="Probabilidad"),(AA16-(+AA16*U17)),IF(AND(R16="Impacto",R17="Probabilidad"),(AA15-(+AA15*U17)),IF(R17="Impacto",AA16,""))),"")</f>
        <v/>
      </c>
      <c r="Z17" s="111" t="str">
        <f t="shared" si="11"/>
        <v/>
      </c>
      <c r="AA17" s="109" t="str">
        <f t="shared" si="12"/>
        <v/>
      </c>
      <c r="AB17" s="111" t="str">
        <f t="shared" si="13"/>
        <v/>
      </c>
      <c r="AC17" s="109" t="str">
        <f t="shared" ref="AC17:AC19" si="16">IFERROR(IF(AND(R16="Impacto",R17="Impacto"),(AC16-(+AC16*U17)),IF(AND(R16="Probabilidad",R17="Impacto"),(AC15-(+AC15*U17)),IF(R17="Probabilidad",AC16,""))),"")</f>
        <v/>
      </c>
      <c r="AD17" s="77" t="str">
        <f t="shared" ref="AD17:AD19" si="17">IFERROR(IF(OR(AND(Z17="Rara vez",AB17="Leve"),AND(Z17="Rara vez",AB17="Menor"),AND(Z17="Improbable",AB17="Leve")),"Bajo",IF(OR(AND(Z17="Rara vez",AB17="Moderado"),AND(Z17="Improbable",AB17="Menor"),AND(Z17="Improbable",AB17="Moderado"),AND(Z17="Posible",AB17="Leve"),AND(Z17="Posible",AB17="Menor"),AND(Z17="Posible",AB17="Moderado"),AND(Z17="Probable",AB17="Leve"),AND(Z17="Probable",AB17="Menor")),"Moderado",IF(OR(AND(Z17="Rara vez",AB17="Mayor"),AND(Z17="Improbable",AB17="Mayor"),AND(Z17="Posible",AB17="Mayor"),AND(Z17="Probable",AB17="Moderado"),AND(Z17="Probable",AB17="Mayor"),AND(Z17="Casi Seguro",AB17="Leve"),AND(Z17="Casi Seguro",AB17="Menor"),AND(Z17="Casi Seguro",AB17="Moderado"),AND(Z17="Casi Seguro",AB17="Mayor")),"Alto",IF(OR(AND(Z17="Rara vez",AB17="Catastrófico"),AND(Z17="Improbable",AB17="Catastrófico"),AND(Z17="Posible",AB17="Catastrófico"),AND(Z17="Probable",AB17="Catastrófico"),AND(Z17="Casi Seguro",AB17="Catastrófico")),"Extremo","")))),"")</f>
        <v/>
      </c>
      <c r="AE17" s="78"/>
      <c r="AF17" s="105"/>
      <c r="AG17" s="112"/>
      <c r="AH17" s="113"/>
      <c r="AI17" s="113"/>
      <c r="AJ17" s="105"/>
      <c r="AK17" s="114"/>
      <c r="AL17" s="170"/>
      <c r="AM17" s="136"/>
      <c r="AN17" s="134"/>
      <c r="AO17" s="393"/>
      <c r="AP17" s="43"/>
      <c r="AQ17" s="43"/>
      <c r="AR17" s="43"/>
      <c r="AS17" s="43"/>
      <c r="AT17" s="43"/>
      <c r="AU17" s="43"/>
      <c r="AV17" s="43"/>
      <c r="AW17" s="43"/>
      <c r="AX17" s="43"/>
      <c r="AY17" s="43"/>
      <c r="AZ17" s="43"/>
      <c r="BA17" s="43"/>
      <c r="BB17" s="43"/>
      <c r="BC17" s="43"/>
      <c r="BD17" s="43"/>
      <c r="BE17" s="43"/>
      <c r="BF17" s="43"/>
      <c r="BG17" s="43"/>
      <c r="BH17" s="43"/>
      <c r="BI17" s="43"/>
      <c r="BJ17" s="43"/>
      <c r="BK17" s="43"/>
      <c r="BL17" s="43"/>
      <c r="BM17" s="43"/>
    </row>
    <row r="18" spans="2:65" x14ac:dyDescent="0.2">
      <c r="B18" s="141"/>
      <c r="C18" s="142"/>
      <c r="D18" s="136"/>
      <c r="E18" s="142"/>
      <c r="F18" s="142"/>
      <c r="G18" s="136"/>
      <c r="H18" s="142"/>
      <c r="I18" s="139"/>
      <c r="J18" s="138"/>
      <c r="K18" s="137"/>
      <c r="L18" s="138">
        <f>IF(NOT(ISERROR(MATCH(K18,_xlfn.ANCHORARRAY(G29),0))),J31&amp;"Por favor no seleccionar los criterios de impacto",K18)</f>
        <v>0</v>
      </c>
      <c r="M18" s="139"/>
      <c r="N18" s="138"/>
      <c r="O18" s="134"/>
      <c r="P18" s="106">
        <v>5</v>
      </c>
      <c r="Q18" s="115"/>
      <c r="R18" s="108" t="str">
        <f t="shared" si="14"/>
        <v/>
      </c>
      <c r="S18" s="78"/>
      <c r="T18" s="78"/>
      <c r="U18" s="109" t="str">
        <f t="shared" si="10"/>
        <v/>
      </c>
      <c r="V18" s="78"/>
      <c r="W18" s="78"/>
      <c r="X18" s="78"/>
      <c r="Y18" s="110" t="str">
        <f t="shared" si="15"/>
        <v/>
      </c>
      <c r="Z18" s="111" t="str">
        <f t="shared" si="11"/>
        <v/>
      </c>
      <c r="AA18" s="109" t="str">
        <f t="shared" si="12"/>
        <v/>
      </c>
      <c r="AB18" s="111" t="str">
        <f t="shared" si="13"/>
        <v/>
      </c>
      <c r="AC18" s="109" t="str">
        <f t="shared" si="16"/>
        <v/>
      </c>
      <c r="AD18" s="77" t="str">
        <f t="shared" si="17"/>
        <v/>
      </c>
      <c r="AE18" s="78"/>
      <c r="AF18" s="105"/>
      <c r="AG18" s="112"/>
      <c r="AH18" s="113"/>
      <c r="AI18" s="113"/>
      <c r="AJ18" s="105"/>
      <c r="AK18" s="114"/>
      <c r="AL18" s="170"/>
      <c r="AM18" s="136"/>
      <c r="AN18" s="134"/>
      <c r="AO18" s="39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row>
    <row r="19" spans="2:65" x14ac:dyDescent="0.2">
      <c r="B19" s="141"/>
      <c r="C19" s="142"/>
      <c r="D19" s="136"/>
      <c r="E19" s="142"/>
      <c r="F19" s="142"/>
      <c r="G19" s="136"/>
      <c r="H19" s="142"/>
      <c r="I19" s="139"/>
      <c r="J19" s="138"/>
      <c r="K19" s="137"/>
      <c r="L19" s="138">
        <f>IF(NOT(ISERROR(MATCH(K19,_xlfn.ANCHORARRAY(G30),0))),J32&amp;"Por favor no seleccionar los criterios de impacto",K19)</f>
        <v>0</v>
      </c>
      <c r="M19" s="139"/>
      <c r="N19" s="138"/>
      <c r="O19" s="134"/>
      <c r="P19" s="106">
        <v>6</v>
      </c>
      <c r="Q19" s="115"/>
      <c r="R19" s="108" t="str">
        <f t="shared" si="14"/>
        <v/>
      </c>
      <c r="S19" s="78"/>
      <c r="T19" s="78"/>
      <c r="U19" s="109" t="str">
        <f t="shared" si="10"/>
        <v/>
      </c>
      <c r="V19" s="78"/>
      <c r="W19" s="78"/>
      <c r="X19" s="78"/>
      <c r="Y19" s="110" t="str">
        <f t="shared" si="15"/>
        <v/>
      </c>
      <c r="Z19" s="111" t="str">
        <f t="shared" si="11"/>
        <v/>
      </c>
      <c r="AA19" s="109" t="str">
        <f t="shared" si="12"/>
        <v/>
      </c>
      <c r="AB19" s="111" t="str">
        <f t="shared" si="13"/>
        <v/>
      </c>
      <c r="AC19" s="109" t="str">
        <f t="shared" si="16"/>
        <v/>
      </c>
      <c r="AD19" s="77" t="str">
        <f t="shared" si="17"/>
        <v/>
      </c>
      <c r="AE19" s="78"/>
      <c r="AF19" s="105"/>
      <c r="AG19" s="112"/>
      <c r="AH19" s="113"/>
      <c r="AI19" s="113"/>
      <c r="AJ19" s="105"/>
      <c r="AK19" s="114"/>
      <c r="AL19" s="170"/>
      <c r="AM19" s="136"/>
      <c r="AN19" s="134"/>
      <c r="AO19" s="393"/>
      <c r="AP19" s="43"/>
      <c r="AQ19" s="43"/>
      <c r="AR19" s="43"/>
      <c r="AS19" s="43"/>
      <c r="AT19" s="43"/>
      <c r="AU19" s="43"/>
      <c r="AV19" s="43"/>
      <c r="AW19" s="43"/>
      <c r="AX19" s="43"/>
      <c r="AY19" s="43"/>
      <c r="AZ19" s="43"/>
      <c r="BA19" s="43"/>
      <c r="BB19" s="43"/>
      <c r="BC19" s="43"/>
      <c r="BD19" s="43"/>
      <c r="BE19" s="43"/>
      <c r="BF19" s="43"/>
      <c r="BG19" s="43"/>
      <c r="BH19" s="43"/>
      <c r="BI19" s="43"/>
      <c r="BJ19" s="43"/>
      <c r="BK19" s="43"/>
      <c r="BL19" s="43"/>
      <c r="BM19" s="43"/>
    </row>
    <row r="20" spans="2:65" ht="63.75" customHeight="1" x14ac:dyDescent="0.2">
      <c r="B20" s="141" t="s">
        <v>240</v>
      </c>
      <c r="C20" s="172" t="s">
        <v>201</v>
      </c>
      <c r="D20" s="173" t="s">
        <v>241</v>
      </c>
      <c r="E20" s="142" t="s">
        <v>218</v>
      </c>
      <c r="F20" s="142" t="s">
        <v>242</v>
      </c>
      <c r="G20" s="136" t="s">
        <v>243</v>
      </c>
      <c r="H20" s="175" t="s">
        <v>61</v>
      </c>
      <c r="I20" s="139" t="str">
        <f>IF(H20&lt;=0,"",IF(H20="No se ha presentado en los últimos 5 años","Rara vez",IF(H20="Al menos 1 vez en los últimos 5 años","Improbable",IF(H20="Al menos 1 vez en los últimos 2 años","Posible",IF(H20="Al menos 1 vez en el último año","Probable",IF(H20="Más de 1 vez al año","Casi Seguro"))))))</f>
        <v>Rara vez</v>
      </c>
      <c r="J20" s="138">
        <f>IF(I20="","",IF(I20="Rara vez",0.2,IF(I20="Improbable",0.4,IF(I20="Posible",0.6,IF(I20="Probable",0.8,IF(I20="Casi Seguro",1,))))))</f>
        <v>0.2</v>
      </c>
      <c r="K20" s="137" t="s">
        <v>76</v>
      </c>
      <c r="L20" s="138" t="str">
        <f>IF(NOT(ISERROR(MATCH(K20,'[3]Tabla Impacto'!$B$220:$B$222,0))),'[3]Tabla Impacto'!$F$222&amp;"Por favor no seleccionar los criterios de impacto(Criterios para calificar el impacto)",K20)</f>
        <v>Responder afirmativamente de SEIS a ONCE</v>
      </c>
      <c r="M20" s="139" t="str">
        <f>IF(OR(L20='[3]Tabla Impacto'!$C$5),"Moderado",IF(OR(L20='[3]Tabla Impacto'!$C$6),"Mayor",IF(OR(L20='[3]Tabla Impacto'!$C$7),"Catastrófico","")))</f>
        <v>Mayor</v>
      </c>
      <c r="N20" s="138">
        <f>IF(M20="","",IF(M20="Leve",0.2,IF(M20="Menor",0.4,IF(M20="Moderado",0.6,IF(M20="Mayor",0.8,IF(M20="Catastrófico",1,))))))</f>
        <v>0.8</v>
      </c>
      <c r="O20" s="134" t="str">
        <f>IF(OR(AND(I20="Rara vez",M20="Leve"),AND(I20="Rara vez",M20="Menor"),AND(I20="Improbable",M20="Leve")),"Bajo",IF(OR(AND(I20="Rara vez",M20="Moderado"),AND(I20="Improbable",M20="Menor"),AND(I20="Improbable",M20="Moderado"),AND(I20="Posible",M20="Leve"),AND(I20="Posible",M20="Menor"),AND(I20="Posible",M20="Moderado"),AND(I20="Probable",M20="Leve"),AND(I20="Probable",M20="Menor")),"Moderado",IF(OR(AND(I20="Rara vez",M20="Mayor"),AND(I20="Improbable",M20="Mayor"),AND(I20="Posible",M20="Mayor"),AND(I20="Probable",M20="Moderado"),AND(I20="Probable",M20="Mayor"),AND(I20="Casi Seguro",M20="Leve"),AND(I20="Casi Seguro",M20="Menor"),AND(I20="Casi Seguro",M20="Moderado"),AND(I20="Casi Seguro",M20="Mayor")),"Alto",IF(OR(AND(I20="Rara vez",M20="Catastrófico"),AND(I20="Improbable",M20="Catastrófico"),AND(I20="Posible",M20="Catastrófico"),AND(I20="Probable",M20="Catastrófico"),AND(I20="Casi Seguro",M20="Catastrófico")),"Extremo",""))))</f>
        <v>Alto</v>
      </c>
      <c r="P20" s="106">
        <v>1</v>
      </c>
      <c r="Q20" s="115" t="s">
        <v>244</v>
      </c>
      <c r="R20" s="108" t="str">
        <f>IF(OR(S20="Preventivo",S20="Detectivo"),"Probabilidad",IF(S20="Correctivo","Impacto",""))</f>
        <v>Probabilidad</v>
      </c>
      <c r="S20" s="78" t="s">
        <v>144</v>
      </c>
      <c r="T20" s="78" t="s">
        <v>152</v>
      </c>
      <c r="U20" s="109" t="str">
        <f>IF(AND(S20="Preventivo",T20="Automático"),"50%",IF(AND(S20="Preventivo",T20="Manual"),"40%",IF(AND(S20="Detectivo",T20="Automático"),"40%",IF(AND(S20="Detectivo",T20="Manual"),"30%",IF(AND(S20="Correctivo",T20="Automático"),"35%",IF(AND(S20="Correctivo",T20="Manual"),"25%",""))))))</f>
        <v>40%</v>
      </c>
      <c r="V20" s="78" t="s">
        <v>155</v>
      </c>
      <c r="W20" s="78" t="s">
        <v>159</v>
      </c>
      <c r="X20" s="78" t="s">
        <v>163</v>
      </c>
      <c r="Y20" s="110">
        <f>IFERROR(IF(R20="Probabilidad",(J20-(+J20*U20)),IF(R20="Impacto",J20,"")),"")</f>
        <v>0.12</v>
      </c>
      <c r="Z20" s="111" t="str">
        <f>IFERROR(IF(Y20="","",IF(Y20&lt;=0.2,"Rara vez",IF(Y20&lt;=0.4,"Improbable",IF(Y20&lt;=0.6,"Posible",IF(Y20&lt;=0.8,"Probable","Casi Seguro"))))),"")</f>
        <v>Rara vez</v>
      </c>
      <c r="AA20" s="109">
        <f>+Y20</f>
        <v>0.12</v>
      </c>
      <c r="AB20" s="111" t="str">
        <f>IFERROR(IF(AC20="","",IF(AC20&lt;=0.6,"Moderado",IF(AC20&lt;=0.8,"Mayor","Catastrófico"))),"")</f>
        <v>Mayor</v>
      </c>
      <c r="AC20" s="109">
        <f>IFERROR(IF(R20="Impacto",(N20-(+N20*U20)),IF(R20="Probabilidad",N20,"")),"")</f>
        <v>0.8</v>
      </c>
      <c r="AD20" s="77" t="str">
        <f>IFERROR(IF(OR(AND(Z20="Rara vez",AB20="Leve"),AND(Z20="Rara vez",AB20="Menor"),AND(Z20="Improbable",AB20="Leve")),"Bajo",IF(OR(AND(Z20="Rara vez",AB20="Moderado"),AND(Z20="Improbable",AB20="Menor"),AND(Z20="Improbable",AB20="Moderado"),AND(Z20="Posible",AB20="Leve"),AND(Z20="Posible",AB20="Menor"),AND(Z20="Posible",AB20="Moderado"),AND(Z20="Probable",AB20="Leve"),AND(Z20="Probable",AB20="Menor")),"Moderado",IF(OR(AND(Z20="Rara vez",AB20="Mayor"),AND(Z20="Improbable",AB20="Mayor"),AND(Z20="Posible",AB20="Mayor"),AND(Z20="Probable",AB20="Moderado"),AND(Z20="Probable",AB20="Mayor"),AND(Z20="Casi Seguro",AB20="Leve"),AND(Z20="Casi Seguro",AB20="Menor"),AND(Z20="Casi Seguro",AB20="Moderado"),AND(Z20="Casi Seguro",AB20="Mayor")),"Alto",IF(OR(AND(Z20="Rara vez",AB20="Catastrófico"),AND(Z20="Improbable",AB20="Catastrófico"),AND(Z20="Posible",AB20="Catastrófico"),AND(Z20="Probable",AB20="Catastrófico"),AND(Z20="Casi Seguro",AB20="Catastrófico")),"Extremo","")))),"")</f>
        <v>Alto</v>
      </c>
      <c r="AE20" s="78"/>
      <c r="AF20" s="105"/>
      <c r="AG20" s="112"/>
      <c r="AH20" s="113"/>
      <c r="AI20" s="113"/>
      <c r="AJ20" s="105"/>
      <c r="AK20" s="114"/>
      <c r="AL20" s="140">
        <v>45428</v>
      </c>
      <c r="AM20" s="135" t="s">
        <v>222</v>
      </c>
      <c r="AN20" s="134" t="str">
        <f>+O20</f>
        <v>Alto</v>
      </c>
      <c r="AO20" s="393" t="str">
        <f>AD23</f>
        <v>Moderado</v>
      </c>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row>
    <row r="21" spans="2:65" ht="89.25" x14ac:dyDescent="0.2">
      <c r="B21" s="141"/>
      <c r="C21" s="172"/>
      <c r="D21" s="173"/>
      <c r="E21" s="142"/>
      <c r="F21" s="142"/>
      <c r="G21" s="136"/>
      <c r="H21" s="175"/>
      <c r="I21" s="139"/>
      <c r="J21" s="138"/>
      <c r="K21" s="137"/>
      <c r="L21" s="138">
        <f>IF(NOT(ISERROR(MATCH(K21,_xlfn.ANCHORARRAY(G32),0))),J34&amp;"Por favor no seleccionar los criterios de impacto",K21)</f>
        <v>0</v>
      </c>
      <c r="M21" s="139"/>
      <c r="N21" s="138"/>
      <c r="O21" s="134"/>
      <c r="P21" s="106">
        <v>2</v>
      </c>
      <c r="Q21" s="115" t="s">
        <v>245</v>
      </c>
      <c r="R21" s="108" t="str">
        <f>IF(OR(S21="Preventivo",S21="Detectivo"),"Probabilidad",IF(S21="Correctivo","Impacto",""))</f>
        <v>Probabilidad</v>
      </c>
      <c r="S21" s="78" t="s">
        <v>146</v>
      </c>
      <c r="T21" s="78" t="s">
        <v>152</v>
      </c>
      <c r="U21" s="109" t="str">
        <f t="shared" ref="U21:U25" si="18">IF(AND(S21="Preventivo",T21="Automático"),"50%",IF(AND(S21="Preventivo",T21="Manual"),"40%",IF(AND(S21="Detectivo",T21="Automático"),"40%",IF(AND(S21="Detectivo",T21="Manual"),"30%",IF(AND(S21="Correctivo",T21="Automático"),"35%",IF(AND(S21="Correctivo",T21="Manual"),"25%",""))))))</f>
        <v>30%</v>
      </c>
      <c r="V21" s="78" t="s">
        <v>157</v>
      </c>
      <c r="W21" s="78" t="s">
        <v>159</v>
      </c>
      <c r="X21" s="78" t="s">
        <v>163</v>
      </c>
      <c r="Y21" s="110">
        <f>IFERROR(IF(AND(R20="Probabilidad",R21="Probabilidad"),(AA20-(+AA20*U21)),IF(R21="Probabilidad",(J20-(+J20*U21)),IF(R21="Impacto",AA20,""))),"")</f>
        <v>8.3999999999999991E-2</v>
      </c>
      <c r="Z21" s="111" t="str">
        <f t="shared" ref="Z21:Z25" si="19">IFERROR(IF(Y21="","",IF(Y21&lt;=0.2,"Rara vez",IF(Y21&lt;=0.4,"Improbable",IF(Y21&lt;=0.6,"Posible",IF(Y21&lt;=0.8,"Probable","Casi Seguro"))))),"")</f>
        <v>Rara vez</v>
      </c>
      <c r="AA21" s="109">
        <f t="shared" ref="AA21:AA25" si="20">+Y21</f>
        <v>8.3999999999999991E-2</v>
      </c>
      <c r="AB21" s="111" t="str">
        <f t="shared" ref="AB21:AB25" si="21">IFERROR(IF(AC21="","",IF(AC21&lt;=0.6,"Moderado",IF(AC21&lt;=0.8,"Mayor","Catastrófico"))),"")</f>
        <v>Mayor</v>
      </c>
      <c r="AC21" s="109">
        <f>IFERROR(IF(AND(R20="Impacto",R21="Impacto"),(AC20-(+AC20*U21)),IF(R21="Impacto",(N20-(+N20*U21)),IF(R21="Probabilidad",AC20,""))),"")</f>
        <v>0.8</v>
      </c>
      <c r="AD21" s="77" t="str">
        <f>IFERROR(IF(OR(AND(Z21="Rara vez",AB21="Leve"),AND(Z21="Rara vez",AB21="Menor"),AND(Z21="Improbable",AB21="Leve")),"Bajo",IF(OR(AND(Z21="Rara vez",AB21="Moderado"),AND(Z21="Improbable",AB21="Menor"),AND(Z21="Improbable",AB21="Moderado"),AND(Z21="Posible",AB21="Leve"),AND(Z21="Posible",AB21="Menor"),AND(Z21="Posible",AB21="Moderado"),AND(Z21="Probable",AB21="Leve"),AND(Z21="Probable",AB21="Menor")),"Moderado",IF(OR(AND(Z21="Rara vez",AB21="Mayor"),AND(Z21="Improbable",AB21="Mayor"),AND(Z21="Posible",AB21="Mayor"),AND(Z21="Probable",AB21="Moderado"),AND(Z21="Probable",AB21="Mayor"),AND(Z21="Casi Seguro",AB21="Leve"),AND(Z21="Casi Seguro",AB21="Menor"),AND(Z21="Casi Seguro",AB21="Moderado"),AND(Z21="Casi Seguro",AB21="Mayor")),"Alto",IF(OR(AND(Z21="Rara vez",AB21="Catastrófico"),AND(Z21="Improbable",AB21="Catastrófico"),AND(Z21="Posible",AB21="Catastrófico"),AND(Z21="Probable",AB21="Catastrófico"),AND(Z21="Casi Seguro",AB21="Catastrófico")),"Extremo","")))),"")</f>
        <v>Alto</v>
      </c>
      <c r="AE21" s="78"/>
      <c r="AF21" s="105"/>
      <c r="AG21" s="112"/>
      <c r="AH21" s="113"/>
      <c r="AI21" s="113"/>
      <c r="AJ21" s="105"/>
      <c r="AK21" s="114"/>
      <c r="AL21" s="170"/>
      <c r="AM21" s="136"/>
      <c r="AN21" s="134"/>
      <c r="AO21" s="39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row>
    <row r="22" spans="2:65" ht="102" x14ac:dyDescent="0.2">
      <c r="B22" s="141"/>
      <c r="C22" s="172"/>
      <c r="D22" s="173"/>
      <c r="E22" s="142"/>
      <c r="F22" s="142"/>
      <c r="G22" s="136"/>
      <c r="H22" s="175"/>
      <c r="I22" s="139"/>
      <c r="J22" s="138"/>
      <c r="K22" s="137"/>
      <c r="L22" s="138">
        <f>IF(NOT(ISERROR(MATCH(K22,_xlfn.ANCHORARRAY(G33),0))),J35&amp;"Por favor no seleccionar los criterios de impacto",K22)</f>
        <v>0</v>
      </c>
      <c r="M22" s="139"/>
      <c r="N22" s="138"/>
      <c r="O22" s="134"/>
      <c r="P22" s="106">
        <v>3</v>
      </c>
      <c r="Q22" s="115" t="s">
        <v>246</v>
      </c>
      <c r="R22" s="108" t="str">
        <f>IF(OR(S22="Preventivo",S22="Detectivo"),"Probabilidad",IF(S22="Correctivo","Impacto",""))</f>
        <v>Probabilidad</v>
      </c>
      <c r="S22" s="78" t="s">
        <v>144</v>
      </c>
      <c r="T22" s="78" t="s">
        <v>152</v>
      </c>
      <c r="U22" s="109" t="str">
        <f t="shared" si="18"/>
        <v>40%</v>
      </c>
      <c r="V22" s="78" t="s">
        <v>155</v>
      </c>
      <c r="W22" s="78" t="s">
        <v>159</v>
      </c>
      <c r="X22" s="78" t="s">
        <v>163</v>
      </c>
      <c r="Y22" s="110">
        <f>IFERROR(IF(AND(R21="Probabilidad",R22="Probabilidad"),(AA21-(+AA21*U22)),IF(AND(R21="Impacto",R22="Probabilidad"),(AA20-(+AA20*U22)),IF(R22="Impacto",AA21,""))),"")</f>
        <v>5.0399999999999993E-2</v>
      </c>
      <c r="Z22" s="111" t="str">
        <f t="shared" si="19"/>
        <v>Rara vez</v>
      </c>
      <c r="AA22" s="109">
        <f t="shared" si="20"/>
        <v>5.0399999999999993E-2</v>
      </c>
      <c r="AB22" s="111" t="str">
        <f t="shared" si="21"/>
        <v>Mayor</v>
      </c>
      <c r="AC22" s="109">
        <f>IFERROR(IF(AND(R21="Impacto",R22="Impacto"),(AC21-(+AC21*U22)),IF(AND(R21="Probabilidad",R22="Impacto"),(AC20-(+AC20*U22)),IF(R22="Probabilidad",AC21,""))),"")</f>
        <v>0.8</v>
      </c>
      <c r="AD22" s="77" t="str">
        <f>IFERROR(IF(OR(AND(Z22="Rara vez",AB22="Leve"),AND(Z22="Rara vez",AB22="Menor"),AND(Z22="Improbable",AB22="Leve")),"Bajo",IF(OR(AND(Z22="Rara vez",AB22="Moderado"),AND(Z22="Improbable",AB22="Menor"),AND(Z22="Improbable",AB22="Moderado"),AND(Z22="Posible",AB22="Leve"),AND(Z22="Posible",AB22="Menor"),AND(Z22="Posible",AB22="Moderado"),AND(Z22="Probable",AB22="Leve"),AND(Z22="Probable",AB22="Menor")),"Moderado",IF(OR(AND(Z22="Rara vez",AB22="Mayor"),AND(Z22="Improbable",AB22="Mayor"),AND(Z22="Posible",AB22="Mayor"),AND(Z22="Probable",AB22="Moderado"),AND(Z22="Probable",AB22="Mayor"),AND(Z22="Casi Seguro",AB22="Leve"),AND(Z22="Casi Seguro",AB22="Menor"),AND(Z22="Casi Seguro",AB22="Moderado"),AND(Z22="Casi Seguro",AB22="Mayor")),"Alto",IF(OR(AND(Z22="Rara vez",AB22="Catastrófico"),AND(Z22="Improbable",AB22="Catastrófico"),AND(Z22="Posible",AB22="Catastrófico"),AND(Z22="Probable",AB22="Catastrófico"),AND(Z22="Casi Seguro",AB22="Catastrófico")),"Extremo","")))),"")</f>
        <v>Alto</v>
      </c>
      <c r="AE22" s="78"/>
      <c r="AF22" s="105"/>
      <c r="AG22" s="112"/>
      <c r="AH22" s="113"/>
      <c r="AI22" s="113"/>
      <c r="AJ22" s="105"/>
      <c r="AK22" s="114"/>
      <c r="AL22" s="170"/>
      <c r="AM22" s="136"/>
      <c r="AN22" s="134"/>
      <c r="AO22" s="393"/>
      <c r="AP22" s="43"/>
      <c r="AQ22" s="43"/>
      <c r="AR22" s="43"/>
      <c r="AS22" s="43"/>
      <c r="AT22" s="43"/>
      <c r="AU22" s="43"/>
      <c r="AV22" s="43"/>
      <c r="AW22" s="43"/>
      <c r="AX22" s="43"/>
      <c r="AY22" s="43"/>
      <c r="AZ22" s="43"/>
      <c r="BA22" s="43"/>
      <c r="BB22" s="43"/>
      <c r="BC22" s="43"/>
      <c r="BD22" s="43"/>
      <c r="BE22" s="43"/>
      <c r="BF22" s="43"/>
      <c r="BG22" s="43"/>
      <c r="BH22" s="43"/>
      <c r="BI22" s="43"/>
      <c r="BJ22" s="43"/>
      <c r="BK22" s="43"/>
      <c r="BL22" s="43"/>
      <c r="BM22" s="43"/>
    </row>
    <row r="23" spans="2:65" ht="87.75" x14ac:dyDescent="0.2">
      <c r="B23" s="141"/>
      <c r="C23" s="172"/>
      <c r="D23" s="173"/>
      <c r="E23" s="142"/>
      <c r="F23" s="142"/>
      <c r="G23" s="136"/>
      <c r="H23" s="175"/>
      <c r="I23" s="139"/>
      <c r="J23" s="138"/>
      <c r="K23" s="137"/>
      <c r="L23" s="138">
        <f>IF(NOT(ISERROR(MATCH(K23,_xlfn.ANCHORARRAY(G34),0))),J36&amp;"Por favor no seleccionar los criterios de impacto",K23)</f>
        <v>0</v>
      </c>
      <c r="M23" s="139"/>
      <c r="N23" s="138"/>
      <c r="O23" s="134"/>
      <c r="P23" s="106">
        <v>4</v>
      </c>
      <c r="Q23" s="115" t="s">
        <v>247</v>
      </c>
      <c r="R23" s="108" t="str">
        <f t="shared" ref="R23:R25" si="22">IF(OR(S23="Preventivo",S23="Detectivo"),"Probabilidad",IF(S23="Correctivo","Impacto",""))</f>
        <v>Impacto</v>
      </c>
      <c r="S23" s="78" t="s">
        <v>148</v>
      </c>
      <c r="T23" s="78" t="s">
        <v>152</v>
      </c>
      <c r="U23" s="109" t="str">
        <f t="shared" si="18"/>
        <v>25%</v>
      </c>
      <c r="V23" s="78" t="s">
        <v>155</v>
      </c>
      <c r="W23" s="78" t="s">
        <v>159</v>
      </c>
      <c r="X23" s="78" t="s">
        <v>163</v>
      </c>
      <c r="Y23" s="110">
        <f t="shared" ref="Y23:Y25" si="23">IFERROR(IF(AND(R22="Probabilidad",R23="Probabilidad"),(AA22-(+AA22*U23)),IF(AND(R22="Impacto",R23="Probabilidad"),(AA21-(+AA21*U23)),IF(R23="Impacto",AA22,""))),"")</f>
        <v>5.0399999999999993E-2</v>
      </c>
      <c r="Z23" s="111" t="str">
        <f t="shared" si="19"/>
        <v>Rara vez</v>
      </c>
      <c r="AA23" s="109">
        <f t="shared" si="20"/>
        <v>5.0399999999999993E-2</v>
      </c>
      <c r="AB23" s="111" t="str">
        <f t="shared" si="21"/>
        <v>Moderado</v>
      </c>
      <c r="AC23" s="109">
        <f t="shared" ref="AC23:AC25" si="24">IFERROR(IF(AND(R22="Impacto",R23="Impacto"),(AC22-(+AC22*U23)),IF(AND(R22="Probabilidad",R23="Impacto"),(AC21-(+AC21*U23)),IF(R23="Probabilidad",AC22,""))),"")</f>
        <v>0.60000000000000009</v>
      </c>
      <c r="AD23" s="77" t="str">
        <f>IFERROR(IF(OR(AND(Z23="Rara vez",AB23="Leve"),AND(Z23="Rara vez",AB23="Menor"),AND(Z23="Improbable",AB23="Leve")),"Bajo",IF(OR(AND(Z23="Rara vez",AB23="Moderado"),AND(Z23="Improbable",AB23="Menor"),AND(Z23="Improbable",AB23="Moderado"),AND(Z23="Posible",AB23="Leve"),AND(Z23="Posible",AB23="Menor"),AND(Z23="Posible",AB23="Moderado"),AND(Z23="Probable",AB23="Leve"),AND(Z23="Probable",AB23="Menor")),"Moderado",IF(OR(AND(Z23="Rara vez",AB23="Mayor"),AND(Z23="Improbable",AB23="Mayor"),AND(Z23="Posible",AB23="Mayor"),AND(Z23="Probable",AB23="Moderado"),AND(Z23="Probable",AB23="Mayor"),AND(Z23="Casi Seguro",AB23="Leve"),AND(Z23="Casi Seguro",AB23="Menor"),AND(Z23="Casi Seguro",AB23="Moderado"),AND(Z23="Casi Seguro",AB23="Mayor")),"Alto",IF(OR(AND(Z23="Rara vez",AB23="Catastrófico"),AND(Z23="Improbable",AB23="Catastrófico"),AND(Z23="Posible",AB23="Catastrófico"),AND(Z23="Probable",AB23="Catastrófico"),AND(Z23="Casi Seguro",AB23="Catastrófico")),"Extremo","")))),"")</f>
        <v>Moderado</v>
      </c>
      <c r="AE23" s="78" t="s">
        <v>173</v>
      </c>
      <c r="AF23" s="105" t="s">
        <v>248</v>
      </c>
      <c r="AG23" s="105" t="s">
        <v>249</v>
      </c>
      <c r="AH23" s="118">
        <v>45657</v>
      </c>
      <c r="AI23" s="118">
        <v>45322</v>
      </c>
      <c r="AJ23" s="105"/>
      <c r="AK23" s="116" t="s">
        <v>176</v>
      </c>
      <c r="AL23" s="170"/>
      <c r="AM23" s="136"/>
      <c r="AN23" s="134"/>
      <c r="AO23" s="393"/>
      <c r="AP23" s="43"/>
      <c r="AQ23" s="43"/>
      <c r="AR23" s="43"/>
      <c r="AS23" s="43"/>
      <c r="AT23" s="43"/>
      <c r="AU23" s="43"/>
      <c r="AV23" s="43"/>
      <c r="AW23" s="43"/>
      <c r="AX23" s="43"/>
      <c r="AY23" s="43"/>
      <c r="AZ23" s="43"/>
      <c r="BA23" s="43"/>
      <c r="BB23" s="43"/>
      <c r="BC23" s="43"/>
      <c r="BD23" s="43"/>
      <c r="BE23" s="43"/>
      <c r="BF23" s="43"/>
      <c r="BG23" s="43"/>
      <c r="BH23" s="43"/>
      <c r="BI23" s="43"/>
      <c r="BJ23" s="43"/>
      <c r="BK23" s="43"/>
      <c r="BL23" s="43"/>
      <c r="BM23" s="43"/>
    </row>
    <row r="24" spans="2:65" x14ac:dyDescent="0.2">
      <c r="B24" s="141"/>
      <c r="C24" s="172"/>
      <c r="D24" s="173"/>
      <c r="E24" s="142"/>
      <c r="F24" s="142"/>
      <c r="G24" s="136"/>
      <c r="H24" s="175"/>
      <c r="I24" s="139"/>
      <c r="J24" s="138"/>
      <c r="K24" s="137"/>
      <c r="L24" s="138">
        <f>IF(NOT(ISERROR(MATCH(K24,_xlfn.ANCHORARRAY(G35),0))),J37&amp;"Por favor no seleccionar los criterios de impacto",K24)</f>
        <v>0</v>
      </c>
      <c r="M24" s="139"/>
      <c r="N24" s="138"/>
      <c r="O24" s="134"/>
      <c r="P24" s="106">
        <v>5</v>
      </c>
      <c r="Q24" s="115"/>
      <c r="R24" s="108" t="str">
        <f t="shared" si="22"/>
        <v/>
      </c>
      <c r="S24" s="78"/>
      <c r="T24" s="78"/>
      <c r="U24" s="109" t="str">
        <f t="shared" si="18"/>
        <v/>
      </c>
      <c r="V24" s="78"/>
      <c r="W24" s="78"/>
      <c r="X24" s="78"/>
      <c r="Y24" s="110" t="str">
        <f t="shared" si="23"/>
        <v/>
      </c>
      <c r="Z24" s="111" t="str">
        <f t="shared" si="19"/>
        <v/>
      </c>
      <c r="AA24" s="109" t="str">
        <f t="shared" si="20"/>
        <v/>
      </c>
      <c r="AB24" s="111" t="str">
        <f t="shared" si="21"/>
        <v/>
      </c>
      <c r="AC24" s="109" t="str">
        <f t="shared" si="24"/>
        <v/>
      </c>
      <c r="AD24" s="77" t="str">
        <f t="shared" ref="AD24:AD25" si="25">IFERROR(IF(OR(AND(Z24="Muy Baja",AB24="Leve"),AND(Z24="Muy Baja",AB24="Menor"),AND(Z24="Baja",AB24="Leve")),"Bajo",IF(OR(AND(Z24="Muy baja",AB24="Moderado"),AND(Z24="Baja",AB24="Menor"),AND(Z24="Baja",AB24="Moderado"),AND(Z24="Media",AB24="Leve"),AND(Z24="Media",AB24="Menor"),AND(Z24="Media",AB24="Moderado"),AND(Z24="Alta",AB24="Leve"),AND(Z24="Alta",AB24="Menor")),"Moderado",IF(OR(AND(Z24="Muy Baja",AB24="Mayor"),AND(Z24="Baja",AB24="Mayor"),AND(Z24="Media",AB24="Mayor"),AND(Z24="Alta",AB24="Moderado"),AND(Z24="Alta",AB24="Mayor"),AND(Z24="Muy Alta",AB24="Leve"),AND(Z24="Muy Alta",AB24="Menor"),AND(Z24="Muy Alta",AB24="Moderado"),AND(Z24="Muy Alta",AB24="Mayor")),"Alto",IF(OR(AND(Z24="Muy Baja",AB24="Catastrófico"),AND(Z24="Baja",AB24="Catastrófico"),AND(Z24="Media",AB24="Catastrófico"),AND(Z24="Alta",AB24="Catastrófico"),AND(Z24="Muy Alta",AB24="Catastrófico")),"Extremo","")))),"")</f>
        <v/>
      </c>
      <c r="AE24" s="78"/>
      <c r="AF24" s="105"/>
      <c r="AG24" s="112"/>
      <c r="AH24" s="113"/>
      <c r="AI24" s="113"/>
      <c r="AJ24" s="105"/>
      <c r="AK24" s="114"/>
      <c r="AL24" s="170"/>
      <c r="AM24" s="136"/>
      <c r="AN24" s="134"/>
      <c r="AO24" s="393"/>
      <c r="AP24" s="43"/>
      <c r="AQ24" s="43"/>
      <c r="AR24" s="43"/>
      <c r="AS24" s="43"/>
      <c r="AT24" s="43"/>
      <c r="AU24" s="43"/>
      <c r="AV24" s="43"/>
      <c r="AW24" s="43"/>
      <c r="AX24" s="43"/>
      <c r="AY24" s="43"/>
      <c r="AZ24" s="43"/>
      <c r="BA24" s="43"/>
      <c r="BB24" s="43"/>
      <c r="BC24" s="43"/>
      <c r="BD24" s="43"/>
      <c r="BE24" s="43"/>
      <c r="BF24" s="43"/>
      <c r="BG24" s="43"/>
      <c r="BH24" s="43"/>
      <c r="BI24" s="43"/>
      <c r="BJ24" s="43"/>
      <c r="BK24" s="43"/>
      <c r="BL24" s="43"/>
      <c r="BM24" s="43"/>
    </row>
    <row r="25" spans="2:65" x14ac:dyDescent="0.2">
      <c r="B25" s="141"/>
      <c r="C25" s="172"/>
      <c r="D25" s="173"/>
      <c r="E25" s="142"/>
      <c r="F25" s="142"/>
      <c r="G25" s="136"/>
      <c r="H25" s="175"/>
      <c r="I25" s="139"/>
      <c r="J25" s="138"/>
      <c r="K25" s="137"/>
      <c r="L25" s="138">
        <f>IF(NOT(ISERROR(MATCH(K25,_xlfn.ANCHORARRAY(G36),0))),J38&amp;"Por favor no seleccionar los criterios de impacto",K25)</f>
        <v>0</v>
      </c>
      <c r="M25" s="139"/>
      <c r="N25" s="138"/>
      <c r="O25" s="134"/>
      <c r="P25" s="106">
        <v>6</v>
      </c>
      <c r="Q25" s="115"/>
      <c r="R25" s="108" t="str">
        <f t="shared" si="22"/>
        <v/>
      </c>
      <c r="S25" s="78"/>
      <c r="T25" s="78"/>
      <c r="U25" s="109" t="str">
        <f t="shared" si="18"/>
        <v/>
      </c>
      <c r="V25" s="78"/>
      <c r="W25" s="78"/>
      <c r="X25" s="78"/>
      <c r="Y25" s="110" t="str">
        <f t="shared" si="23"/>
        <v/>
      </c>
      <c r="Z25" s="111" t="str">
        <f t="shared" si="19"/>
        <v/>
      </c>
      <c r="AA25" s="109" t="str">
        <f t="shared" si="20"/>
        <v/>
      </c>
      <c r="AB25" s="111" t="str">
        <f t="shared" si="21"/>
        <v/>
      </c>
      <c r="AC25" s="109" t="str">
        <f t="shared" si="24"/>
        <v/>
      </c>
      <c r="AD25" s="77" t="str">
        <f t="shared" si="25"/>
        <v/>
      </c>
      <c r="AE25" s="78"/>
      <c r="AF25" s="105"/>
      <c r="AG25" s="112"/>
      <c r="AH25" s="113"/>
      <c r="AI25" s="113"/>
      <c r="AJ25" s="105"/>
      <c r="AK25" s="114"/>
      <c r="AL25" s="170"/>
      <c r="AM25" s="136"/>
      <c r="AN25" s="134"/>
      <c r="AO25" s="39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row>
    <row r="26" spans="2:65" ht="102" customHeight="1" x14ac:dyDescent="0.2">
      <c r="B26" s="141" t="s">
        <v>250</v>
      </c>
      <c r="C26" s="172" t="s">
        <v>212</v>
      </c>
      <c r="D26" s="196" t="s">
        <v>251</v>
      </c>
      <c r="E26" s="180" t="s">
        <v>231</v>
      </c>
      <c r="F26" s="197" t="s">
        <v>252</v>
      </c>
      <c r="G26" s="374" t="s">
        <v>481</v>
      </c>
      <c r="H26" s="175" t="s">
        <v>67</v>
      </c>
      <c r="I26" s="139" t="str">
        <f>IF(H26&lt;=0,"",IF(H26="No se ha presentado en los últimos 5 años","Rara vez",IF(H26="Al menos 1 vez en los últimos 5 años","Improbable",IF(H26="Al menos 1 vez en los últimos 2 años","Posible",IF(H26="Al menos 1 vez en el último año","Probable",IF(H26="Más de 1 vez al año","Casi Seguro"))))))</f>
        <v>Posible</v>
      </c>
      <c r="J26" s="138">
        <f>IF(I26="","",IF(I26="Rara vez",0.2,IF(I26="Improbable",0.4,IF(I26="Posible",0.6,IF(I26="Probable",0.8,IF(I26="Casi Seguro",1,))))))</f>
        <v>0.6</v>
      </c>
      <c r="K26" s="137" t="s">
        <v>76</v>
      </c>
      <c r="L26" s="138" t="str">
        <f>IF(NOT(ISERROR(MATCH(K26,'[4]Tabla Impacto'!$B$220:$B$222,0))),'[4]Tabla Impacto'!$F$222&amp;"Por favor no seleccionar los criterios de impacto(Criterios para calificar el impacto)",K26)</f>
        <v>Responder afirmativamente de SEIS a ONCE</v>
      </c>
      <c r="M26" s="139" t="str">
        <f>IF(OR(L26='[4]Tabla Impacto'!$C$5),"Moderado",IF(OR(L26='[4]Tabla Impacto'!$C$6),"Mayor",IF(OR(L26='[4]Tabla Impacto'!$C$7),"Catastrófico","")))</f>
        <v>Mayor</v>
      </c>
      <c r="N26" s="138">
        <f>IF(M26="","",IF(M26="Leve",0.2,IF(M26="Menor",0.4,IF(M26="Moderado",0.6,IF(M26="Mayor",0.8,IF(M26="Catastrófico",1,))))))</f>
        <v>0.8</v>
      </c>
      <c r="O26" s="134" t="str">
        <f>IF(OR(AND(I26="Rara vez",M26="Leve"),AND(I26="Rara vez",M26="Menor"),AND(I26="Improbable",M26="Leve")),"Bajo",IF(OR(AND(I26="Rara vez",M26="Moderado"),AND(I26="Improbable",M26="Menor"),AND(I26="Improbable",M26="Moderado"),AND(I26="Posible",M26="Leve"),AND(I26="Posible",M26="Menor"),AND(I26="Posible",M26="Moderado"),AND(I26="Probable",M26="Leve"),AND(I26="Probable",M26="Menor")),"Moderado",IF(OR(AND(I26="Rara vez",M26="Mayor"),AND(I26="Improbable",M26="Mayor"),AND(I26="Posible",M26="Mayor"),AND(I26="Probable",M26="Moderado"),AND(I26="Probable",M26="Mayor"),AND(I26="Casi Seguro",M26="Leve"),AND(I26="Casi Seguro",M26="Menor"),AND(I26="Casi Seguro",M26="Moderado"),AND(I26="Casi Seguro",M26="Mayor")),"Alto",IF(OR(AND(I26="Rara vez",M26="Catastrófico"),AND(I26="Improbable",M26="Catastrófico"),AND(I26="Posible",M26="Catastrófico"),AND(I26="Probable",M26="Catastrófico"),AND(I26="Casi Seguro",M26="Catastrófico")),"Extremo",""))))</f>
        <v>Alto</v>
      </c>
      <c r="P26" s="106">
        <v>1</v>
      </c>
      <c r="Q26" s="107" t="s">
        <v>253</v>
      </c>
      <c r="R26" s="108" t="str">
        <f>IF(OR(S26="Preventivo",S26="Detectivo"),"Probabilidad",IF(S26="Correctivo","Impacto",""))</f>
        <v>Probabilidad</v>
      </c>
      <c r="S26" s="78" t="s">
        <v>144</v>
      </c>
      <c r="T26" s="78" t="s">
        <v>152</v>
      </c>
      <c r="U26" s="109" t="str">
        <f>IF(AND(S26="Preventivo",T26="Automático"),"50%",IF(AND(S26="Preventivo",T26="Manual"),"40%",IF(AND(S26="Detectivo",T26="Automático"),"40%",IF(AND(S26="Detectivo",T26="Manual"),"30%",IF(AND(S26="Correctivo",T26="Automático"),"35%",IF(AND(S26="Correctivo",T26="Manual"),"25%",""))))))</f>
        <v>40%</v>
      </c>
      <c r="V26" s="78" t="s">
        <v>155</v>
      </c>
      <c r="W26" s="78" t="s">
        <v>159</v>
      </c>
      <c r="X26" s="78" t="s">
        <v>163</v>
      </c>
      <c r="Y26" s="110">
        <f>IFERROR(IF(R26="Probabilidad",(J26-(+J26*U26)),IF(R26="Impacto",J26,"")),"")</f>
        <v>0.36</v>
      </c>
      <c r="Z26" s="111" t="str">
        <f>IFERROR(IF(Y26="","",IF(Y26&lt;=0.2,"Rara vez",IF(Y26&lt;=0.4,"Improbable",IF(Y26&lt;=0.6,"Posible",IF(Y26&lt;=0.8,"Probable","Casi Seguro"))))),"")</f>
        <v>Improbable</v>
      </c>
      <c r="AA26" s="109">
        <f>+Y26</f>
        <v>0.36</v>
      </c>
      <c r="AB26" s="111" t="str">
        <f>IFERROR(IF(AC26="","",IF(AC26&lt;=0.6,"Moderado",IF(AC26&lt;=0.8,"Mayor","Catastrófico"))),"")</f>
        <v>Mayor</v>
      </c>
      <c r="AC26" s="109">
        <f>IFERROR(IF(R26="Impacto",(N26-(+N26*U26)),IF(R26="Probabilidad",N26,"")),"")</f>
        <v>0.8</v>
      </c>
      <c r="AD26" s="77" t="str">
        <f>IFERROR(IF(OR(AND(Z26="Rara vez",AB26="Leve"),AND(Z26="Rara vez",AB26="Menor"),AND(Z26="Improbable",AB26="Leve")),"Bajo",IF(OR(AND(Z26="Rara vez",AB26="Moderado"),AND(Z26="Improbable",AB26="Menor"),AND(Z26="Improbable",AB26="Moderado"),AND(Z26="Posible",AB26="Leve"),AND(Z26="Posible",AB26="Menor"),AND(Z26="Posible",AB26="Moderado"),AND(Z26="Probable",AB26="Leve"),AND(Z26="Probable",AB26="Menor")),"Moderado",IF(OR(AND(Z26="Rara vez",AB26="Mayor"),AND(Z26="Improbable",AB26="Mayor"),AND(Z26="Posible",AB26="Mayor"),AND(Z26="Probable",AB26="Moderado"),AND(Z26="Probable",AB26="Mayor"),AND(Z26="Casi Seguro",AB26="Leve"),AND(Z26="Casi Seguro",AB26="Menor"),AND(Z26="Casi Seguro",AB26="Moderado"),AND(Z26="Casi Seguro",AB26="Mayor")),"Alto",IF(OR(AND(Z26="Rara vez",AB26="Catastrófico"),AND(Z26="Improbable",AB26="Catastrófico"),AND(Z26="Posible",AB26="Catastrófico"),AND(Z26="Probable",AB26="Catastrófico"),AND(Z26="Casi Seguro",AB26="Catastrófico")),"Extremo","")))),"")</f>
        <v>Alto</v>
      </c>
      <c r="AE26" s="78"/>
      <c r="AF26" s="105"/>
      <c r="AG26" s="112"/>
      <c r="AH26" s="113"/>
      <c r="AI26" s="113"/>
      <c r="AJ26" s="105"/>
      <c r="AK26" s="114"/>
      <c r="AL26" s="140">
        <v>45428</v>
      </c>
      <c r="AM26" s="135" t="s">
        <v>222</v>
      </c>
      <c r="AN26" s="134" t="str">
        <f>+O26</f>
        <v>Alto</v>
      </c>
      <c r="AO26" s="393" t="str">
        <f>AD29</f>
        <v>Moderado</v>
      </c>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row>
    <row r="27" spans="2:65" ht="85.5" x14ac:dyDescent="0.2">
      <c r="B27" s="141"/>
      <c r="C27" s="172"/>
      <c r="D27" s="196"/>
      <c r="E27" s="180"/>
      <c r="F27" s="197"/>
      <c r="G27" s="375"/>
      <c r="H27" s="175"/>
      <c r="I27" s="139"/>
      <c r="J27" s="138"/>
      <c r="K27" s="137"/>
      <c r="L27" s="138">
        <f>IF(NOT(ISERROR(MATCH(K27,_xlfn.ANCHORARRAY(G38),0))),J40&amp;"Por favor no seleccionar los criterios de impacto",K27)</f>
        <v>0</v>
      </c>
      <c r="M27" s="139"/>
      <c r="N27" s="138"/>
      <c r="O27" s="134"/>
      <c r="P27" s="106">
        <v>2</v>
      </c>
      <c r="Q27" s="115" t="s">
        <v>254</v>
      </c>
      <c r="R27" s="108" t="str">
        <f>IF(OR(S27="Preventivo",S27="Detectivo"),"Probabilidad",IF(S27="Correctivo","Impacto",""))</f>
        <v>Probabilidad</v>
      </c>
      <c r="S27" s="78" t="s">
        <v>146</v>
      </c>
      <c r="T27" s="78" t="s">
        <v>152</v>
      </c>
      <c r="U27" s="109" t="str">
        <f t="shared" ref="U27:U31" si="26">IF(AND(S27="Preventivo",T27="Automático"),"50%",IF(AND(S27="Preventivo",T27="Manual"),"40%",IF(AND(S27="Detectivo",T27="Automático"),"40%",IF(AND(S27="Detectivo",T27="Manual"),"30%",IF(AND(S27="Correctivo",T27="Automático"),"35%",IF(AND(S27="Correctivo",T27="Manual"),"25%",""))))))</f>
        <v>30%</v>
      </c>
      <c r="V27" s="78" t="s">
        <v>157</v>
      </c>
      <c r="W27" s="78" t="s">
        <v>159</v>
      </c>
      <c r="X27" s="78" t="s">
        <v>165</v>
      </c>
      <c r="Y27" s="110">
        <f>IFERROR(IF(AND(R26="Probabilidad",R27="Probabilidad"),(AA26-(+AA26*U27)),IF(R27="Probabilidad",(J26-(+J26*U27)),IF(R27="Impacto",AA26,""))),"")</f>
        <v>0.252</v>
      </c>
      <c r="Z27" s="111" t="str">
        <f t="shared" ref="Z27:Z31" si="27">IFERROR(IF(Y27="","",IF(Y27&lt;=0.2,"Rara vez",IF(Y27&lt;=0.4,"Improbable",IF(Y27&lt;=0.6,"Posible",IF(Y27&lt;=0.8,"Probable","Casi Seguro"))))),"")</f>
        <v>Improbable</v>
      </c>
      <c r="AA27" s="109">
        <f t="shared" ref="AA27:AA31" si="28">+Y27</f>
        <v>0.252</v>
      </c>
      <c r="AB27" s="111" t="str">
        <f t="shared" ref="AB27:AB31" si="29">IFERROR(IF(AC27="","",IF(AC27&lt;=0.6,"Moderado",IF(AC27&lt;=0.8,"Mayor","Catastrófico"))),"")</f>
        <v>Mayor</v>
      </c>
      <c r="AC27" s="109">
        <f>IFERROR(IF(AND(R26="Impacto",R27="Impacto"),(AC26-(+AC26*U27)),IF(R27="Impacto",(N26-(+N26*U27)),IF(R27="Probabilidad",AC26,""))),"")</f>
        <v>0.8</v>
      </c>
      <c r="AD27" s="77" t="str">
        <f t="shared" ref="AD27:AD29" si="30">IFERROR(IF(OR(AND(Z27="Rara vez",AB27="Leve"),AND(Z27="Rara vez",AB27="Menor"),AND(Z27="Improbable",AB27="Leve")),"Bajo",IF(OR(AND(Z27="Rara vez",AB27="Moderado"),AND(Z27="Improbable",AB27="Menor"),AND(Z27="Improbable",AB27="Moderado"),AND(Z27="Posible",AB27="Leve"),AND(Z27="Posible",AB27="Menor"),AND(Z27="Posible",AB27="Moderado"),AND(Z27="Probable",AB27="Leve"),AND(Z27="Probable",AB27="Menor")),"Moderado",IF(OR(AND(Z27="Rara vez",AB27="Mayor"),AND(Z27="Improbable",AB27="Mayor"),AND(Z27="Posible",AB27="Mayor"),AND(Z27="Probable",AB27="Moderado"),AND(Z27="Probable",AB27="Mayor"),AND(Z27="Casi Seguro",AB27="Leve"),AND(Z27="Casi Seguro",AB27="Menor"),AND(Z27="Casi Seguro",AB27="Moderado"),AND(Z27="Casi Seguro",AB27="Mayor")),"Alto",IF(OR(AND(Z27="Rara vez",AB27="Catastrófico"),AND(Z27="Improbable",AB27="Catastrófico"),AND(Z27="Posible",AB27="Catastrófico"),AND(Z27="Probable",AB27="Catastrófico"),AND(Z27="Casi Seguro",AB27="Catastrófico")),"Extremo","")))),"")</f>
        <v>Alto</v>
      </c>
      <c r="AE27" s="78"/>
      <c r="AF27" s="105"/>
      <c r="AG27" s="112"/>
      <c r="AH27" s="113"/>
      <c r="AI27" s="113"/>
      <c r="AJ27" s="105"/>
      <c r="AK27" s="114"/>
      <c r="AL27" s="170"/>
      <c r="AM27" s="136"/>
      <c r="AN27" s="134"/>
      <c r="AO27" s="39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row>
    <row r="28" spans="2:65" ht="85.5" x14ac:dyDescent="0.2">
      <c r="B28" s="141"/>
      <c r="C28" s="172"/>
      <c r="D28" s="196"/>
      <c r="E28" s="180"/>
      <c r="F28" s="197"/>
      <c r="G28" s="375"/>
      <c r="H28" s="175"/>
      <c r="I28" s="139"/>
      <c r="J28" s="138"/>
      <c r="K28" s="137"/>
      <c r="L28" s="138">
        <f>IF(NOT(ISERROR(MATCH(K28,_xlfn.ANCHORARRAY(G39),0))),J41&amp;"Por favor no seleccionar los criterios de impacto",K28)</f>
        <v>0</v>
      </c>
      <c r="M28" s="139"/>
      <c r="N28" s="138"/>
      <c r="O28" s="134"/>
      <c r="P28" s="106">
        <v>3</v>
      </c>
      <c r="Q28" s="115" t="s">
        <v>255</v>
      </c>
      <c r="R28" s="108" t="str">
        <f>IF(OR(S28="Preventivo",S28="Detectivo"),"Probabilidad",IF(S28="Correctivo","Impacto",""))</f>
        <v>Probabilidad</v>
      </c>
      <c r="S28" s="78" t="s">
        <v>144</v>
      </c>
      <c r="T28" s="78" t="s">
        <v>152</v>
      </c>
      <c r="U28" s="109" t="str">
        <f t="shared" si="26"/>
        <v>40%</v>
      </c>
      <c r="V28" s="78" t="s">
        <v>157</v>
      </c>
      <c r="W28" s="78" t="s">
        <v>159</v>
      </c>
      <c r="X28" s="78" t="s">
        <v>165</v>
      </c>
      <c r="Y28" s="110">
        <f>IFERROR(IF(AND(R27="Probabilidad",R28="Probabilidad"),(AA27-(+AA27*U28)),IF(AND(R27="Impacto",R28="Probabilidad"),(AA26-(+AA26*U28)),IF(R28="Impacto",AA27,""))),"")</f>
        <v>0.1512</v>
      </c>
      <c r="Z28" s="111" t="str">
        <f t="shared" si="27"/>
        <v>Rara vez</v>
      </c>
      <c r="AA28" s="109">
        <f t="shared" si="28"/>
        <v>0.1512</v>
      </c>
      <c r="AB28" s="111" t="str">
        <f t="shared" si="29"/>
        <v>Mayor</v>
      </c>
      <c r="AC28" s="109">
        <f>IFERROR(IF(AND(R27="Impacto",R28="Impacto"),(AC27-(+AC27*U28)),IF(AND(R27="Probabilidad",R28="Impacto"),(AC26-(+AC26*U28)),IF(R28="Probabilidad",AC27,""))),"")</f>
        <v>0.8</v>
      </c>
      <c r="AD28" s="77" t="str">
        <f t="shared" si="30"/>
        <v>Alto</v>
      </c>
      <c r="AE28" s="78"/>
      <c r="AF28" s="105"/>
      <c r="AG28" s="112"/>
      <c r="AH28" s="113"/>
      <c r="AI28" s="113"/>
      <c r="AJ28" s="105"/>
      <c r="AK28" s="114"/>
      <c r="AL28" s="170"/>
      <c r="AM28" s="136"/>
      <c r="AN28" s="134"/>
      <c r="AO28" s="39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row>
    <row r="29" spans="2:65" ht="113.25" customHeight="1" x14ac:dyDescent="0.2">
      <c r="B29" s="141"/>
      <c r="C29" s="172"/>
      <c r="D29" s="196"/>
      <c r="E29" s="180"/>
      <c r="F29" s="197"/>
      <c r="G29" s="375"/>
      <c r="H29" s="175"/>
      <c r="I29" s="139"/>
      <c r="J29" s="138"/>
      <c r="K29" s="137"/>
      <c r="L29" s="138">
        <f>IF(NOT(ISERROR(MATCH(K29,_xlfn.ANCHORARRAY(G40),0))),J42&amp;"Por favor no seleccionar los criterios de impacto",K29)</f>
        <v>0</v>
      </c>
      <c r="M29" s="139"/>
      <c r="N29" s="138"/>
      <c r="O29" s="134"/>
      <c r="P29" s="106">
        <v>4</v>
      </c>
      <c r="Q29" s="115" t="s">
        <v>256</v>
      </c>
      <c r="R29" s="108" t="str">
        <f t="shared" ref="R29:R31" si="31">IF(OR(S29="Preventivo",S29="Detectivo"),"Probabilidad",IF(S29="Correctivo","Impacto",""))</f>
        <v>Impacto</v>
      </c>
      <c r="S29" s="78" t="s">
        <v>148</v>
      </c>
      <c r="T29" s="78" t="s">
        <v>152</v>
      </c>
      <c r="U29" s="109" t="str">
        <f t="shared" si="26"/>
        <v>25%</v>
      </c>
      <c r="V29" s="78" t="s">
        <v>157</v>
      </c>
      <c r="W29" s="78" t="s">
        <v>159</v>
      </c>
      <c r="X29" s="78" t="s">
        <v>163</v>
      </c>
      <c r="Y29" s="110">
        <f t="shared" ref="Y29:Y31" si="32">IFERROR(IF(AND(R28="Probabilidad",R29="Probabilidad"),(AA28-(+AA28*U29)),IF(AND(R28="Impacto",R29="Probabilidad"),(AA27-(+AA27*U29)),IF(R29="Impacto",AA28,""))),"")</f>
        <v>0.1512</v>
      </c>
      <c r="Z29" s="111" t="str">
        <f t="shared" si="27"/>
        <v>Rara vez</v>
      </c>
      <c r="AA29" s="109">
        <f t="shared" si="28"/>
        <v>0.1512</v>
      </c>
      <c r="AB29" s="111" t="str">
        <f t="shared" si="29"/>
        <v>Moderado</v>
      </c>
      <c r="AC29" s="109">
        <f t="shared" ref="AC29:AC31" si="33">IFERROR(IF(AND(R28="Impacto",R29="Impacto"),(AC28-(+AC28*U29)),IF(AND(R28="Probabilidad",R29="Impacto"),(AC27-(+AC27*U29)),IF(R29="Probabilidad",AC28,""))),"")</f>
        <v>0.60000000000000009</v>
      </c>
      <c r="AD29" s="77" t="str">
        <f t="shared" si="30"/>
        <v>Moderado</v>
      </c>
      <c r="AE29" s="78" t="s">
        <v>173</v>
      </c>
      <c r="AF29" s="105" t="s">
        <v>257</v>
      </c>
      <c r="AG29" s="112" t="s">
        <v>258</v>
      </c>
      <c r="AH29" s="113">
        <v>45534</v>
      </c>
      <c r="AI29" s="113">
        <v>45596</v>
      </c>
      <c r="AJ29" s="105"/>
      <c r="AK29" s="114" t="s">
        <v>176</v>
      </c>
      <c r="AL29" s="170"/>
      <c r="AM29" s="136"/>
      <c r="AN29" s="134"/>
      <c r="AO29" s="39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row>
    <row r="30" spans="2:65" x14ac:dyDescent="0.2">
      <c r="B30" s="141"/>
      <c r="C30" s="172"/>
      <c r="D30" s="196"/>
      <c r="E30" s="180"/>
      <c r="F30" s="197"/>
      <c r="G30" s="375"/>
      <c r="H30" s="175"/>
      <c r="I30" s="139"/>
      <c r="J30" s="138"/>
      <c r="K30" s="137"/>
      <c r="L30" s="138">
        <f>IF(NOT(ISERROR(MATCH(K30,_xlfn.ANCHORARRAY(G41),0))),J43&amp;"Por favor no seleccionar los criterios de impacto",K30)</f>
        <v>0</v>
      </c>
      <c r="M30" s="139"/>
      <c r="N30" s="138"/>
      <c r="O30" s="134"/>
      <c r="P30" s="106">
        <v>5</v>
      </c>
      <c r="Q30" s="115"/>
      <c r="R30" s="108" t="str">
        <f t="shared" si="31"/>
        <v/>
      </c>
      <c r="S30" s="78"/>
      <c r="T30" s="78"/>
      <c r="U30" s="109" t="str">
        <f t="shared" si="26"/>
        <v/>
      </c>
      <c r="V30" s="78"/>
      <c r="W30" s="78"/>
      <c r="X30" s="78"/>
      <c r="Y30" s="110" t="str">
        <f t="shared" si="32"/>
        <v/>
      </c>
      <c r="Z30" s="111" t="str">
        <f t="shared" si="27"/>
        <v/>
      </c>
      <c r="AA30" s="109" t="str">
        <f t="shared" si="28"/>
        <v/>
      </c>
      <c r="AB30" s="111" t="str">
        <f t="shared" si="29"/>
        <v/>
      </c>
      <c r="AC30" s="109" t="str">
        <f t="shared" si="33"/>
        <v/>
      </c>
      <c r="AD30" s="77" t="str">
        <f t="shared" ref="AD30:AD31" si="34">IFERROR(IF(OR(AND(Z30="Muy Baja",AB30="Leve"),AND(Z30="Muy Baja",AB30="Menor"),AND(Z30="Baja",AB30="Leve")),"Bajo",IF(OR(AND(Z30="Muy baja",AB30="Moderado"),AND(Z30="Baja",AB30="Menor"),AND(Z30="Baja",AB30="Moderado"),AND(Z30="Media",AB30="Leve"),AND(Z30="Media",AB30="Menor"),AND(Z30="Media",AB30="Moderado"),AND(Z30="Alta",AB30="Leve"),AND(Z30="Alta",AB30="Menor")),"Moderado",IF(OR(AND(Z30="Muy Baja",AB30="Mayor"),AND(Z30="Baja",AB30="Mayor"),AND(Z30="Media",AB30="Mayor"),AND(Z30="Alta",AB30="Moderado"),AND(Z30="Alta",AB30="Mayor"),AND(Z30="Muy Alta",AB30="Leve"),AND(Z30="Muy Alta",AB30="Menor"),AND(Z30="Muy Alta",AB30="Moderado"),AND(Z30="Muy Alta",AB30="Mayor")),"Alto",IF(OR(AND(Z30="Muy Baja",AB30="Catastrófico"),AND(Z30="Baja",AB30="Catastrófico"),AND(Z30="Media",AB30="Catastrófico"),AND(Z30="Alta",AB30="Catastrófico"),AND(Z30="Muy Alta",AB30="Catastrófico")),"Extremo","")))),"")</f>
        <v/>
      </c>
      <c r="AE30" s="78"/>
      <c r="AF30" s="105"/>
      <c r="AG30" s="112"/>
      <c r="AH30" s="113"/>
      <c r="AI30" s="113"/>
      <c r="AJ30" s="105"/>
      <c r="AK30" s="114"/>
      <c r="AL30" s="170"/>
      <c r="AM30" s="136"/>
      <c r="AN30" s="134"/>
      <c r="AO30" s="39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row>
    <row r="31" spans="2:65" x14ac:dyDescent="0.2">
      <c r="B31" s="141"/>
      <c r="C31" s="172"/>
      <c r="D31" s="196"/>
      <c r="E31" s="180"/>
      <c r="F31" s="197"/>
      <c r="G31" s="376"/>
      <c r="H31" s="175"/>
      <c r="I31" s="139"/>
      <c r="J31" s="138"/>
      <c r="K31" s="137"/>
      <c r="L31" s="138">
        <f>IF(NOT(ISERROR(MATCH(K31,_xlfn.ANCHORARRAY(G42),0))),J44&amp;"Por favor no seleccionar los criterios de impacto",K31)</f>
        <v>0</v>
      </c>
      <c r="M31" s="139"/>
      <c r="N31" s="138"/>
      <c r="O31" s="134"/>
      <c r="P31" s="106">
        <v>6</v>
      </c>
      <c r="Q31" s="115"/>
      <c r="R31" s="108" t="str">
        <f t="shared" si="31"/>
        <v/>
      </c>
      <c r="S31" s="78"/>
      <c r="T31" s="78"/>
      <c r="U31" s="109" t="str">
        <f t="shared" si="26"/>
        <v/>
      </c>
      <c r="V31" s="78"/>
      <c r="W31" s="78"/>
      <c r="X31" s="78"/>
      <c r="Y31" s="110" t="str">
        <f t="shared" si="32"/>
        <v/>
      </c>
      <c r="Z31" s="111" t="str">
        <f t="shared" si="27"/>
        <v/>
      </c>
      <c r="AA31" s="109" t="str">
        <f t="shared" si="28"/>
        <v/>
      </c>
      <c r="AB31" s="111" t="str">
        <f t="shared" si="29"/>
        <v/>
      </c>
      <c r="AC31" s="109" t="str">
        <f t="shared" si="33"/>
        <v/>
      </c>
      <c r="AD31" s="77" t="str">
        <f t="shared" si="34"/>
        <v/>
      </c>
      <c r="AE31" s="78"/>
      <c r="AF31" s="105"/>
      <c r="AG31" s="112"/>
      <c r="AH31" s="113"/>
      <c r="AI31" s="113"/>
      <c r="AJ31" s="105"/>
      <c r="AK31" s="114"/>
      <c r="AL31" s="170"/>
      <c r="AM31" s="136"/>
      <c r="AN31" s="134"/>
      <c r="AO31" s="39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row>
    <row r="32" spans="2:65" ht="89.25" x14ac:dyDescent="0.2">
      <c r="B32" s="141" t="s">
        <v>259</v>
      </c>
      <c r="C32" s="142" t="s">
        <v>203</v>
      </c>
      <c r="D32" s="136" t="s">
        <v>260</v>
      </c>
      <c r="E32" s="142" t="s">
        <v>261</v>
      </c>
      <c r="F32" s="142" t="s">
        <v>262</v>
      </c>
      <c r="G32" s="136" t="s">
        <v>263</v>
      </c>
      <c r="H32" s="142" t="s">
        <v>61</v>
      </c>
      <c r="I32" s="139" t="str">
        <f>IF(H32&lt;=0,"",IF(H32="No se ha presentado en los últimos 5 años","Rara vez",IF(H32="Al menos 1 vez en los últimos 5 años","Improbable",IF(H32="Al menos 1 vez en los últimos 2 años","Posible",IF(H32="Al menos 1 vez en el último año","Probable",IF(H32="Más de 1 vez al año","Casi Seguro"))))))</f>
        <v>Rara vez</v>
      </c>
      <c r="J32" s="138">
        <f>IF(I32="","",IF(I32="Rara vez",0.2,IF(I32="Improbable",0.4,IF(I32="Posible",0.6,IF(I32="Probable",0.8,IF(I32="Casi Seguro",1,))))))</f>
        <v>0.2</v>
      </c>
      <c r="K32" s="137" t="s">
        <v>76</v>
      </c>
      <c r="L32" s="138" t="str">
        <f>IF(NOT(ISERROR(MATCH(K32,'[5]Tabla Impacto'!$B$220:$B$222,0))),'[5]Tabla Impacto'!$F$222&amp;"Por favor no seleccionar los criterios de impacto(Criterios para calificar el impacto)",K32)</f>
        <v>Responder afirmativamente de SEIS a ONCE</v>
      </c>
      <c r="M32" s="139" t="str">
        <f>IF(OR(L32='[5]Tabla Impacto'!$C$5),"Moderado",IF(OR(L32='[5]Tabla Impacto'!$C$6),"Mayor",IF(OR(L32='[5]Tabla Impacto'!$C$7),"Catastrófico","")))</f>
        <v>Mayor</v>
      </c>
      <c r="N32" s="138">
        <f>IF(M32="","",IF(M32="Leve",0.2,IF(M32="Menor",0.4,IF(M32="Moderado",0.6,IF(M32="Mayor",0.8,IF(M32="Catastrófico",1,))))))</f>
        <v>0.8</v>
      </c>
      <c r="O32" s="134" t="str">
        <f>IF(OR(AND(I32="Rara vez",M32="Leve"),AND(I32="Rara vez",M32="Menor"),AND(I32="Improbable",M32="Leve")),"Bajo",IF(OR(AND(I32="Rara vez",M32="Moderado"),AND(I32="Improbable",M32="Menor"),AND(I32="Improbable",M32="Moderado"),AND(I32="Posible",M32="Leve"),AND(I32="Posible",M32="Menor"),AND(I32="Posible",M32="Moderado"),AND(I32="Probable",M32="Leve"),AND(I32="Probable",M32="Menor")),"Moderado",IF(OR(AND(I32="Rara vez",M32="Mayor"),AND(I32="Improbable",M32="Mayor"),AND(I32="Posible",M32="Mayor"),AND(I32="Probable",M32="Moderado"),AND(I32="Probable",M32="Mayor"),AND(I32="Casi Seguro",M32="Leve"),AND(I32="Casi Seguro",M32="Menor"),AND(I32="Casi Seguro",M32="Moderado"),AND(I32="Casi Seguro",M32="Mayor")),"Alto",IF(OR(AND(I32="Rara vez",M32="Catastrófico"),AND(I32="Improbable",M32="Catastrófico"),AND(I32="Posible",M32="Catastrófico"),AND(I32="Probable",M32="Catastrófico"),AND(I32="Casi Seguro",M32="Catastrófico")),"Extremo",""))))</f>
        <v>Alto</v>
      </c>
      <c r="P32" s="106">
        <v>1</v>
      </c>
      <c r="Q32" s="115" t="s">
        <v>264</v>
      </c>
      <c r="R32" s="108" t="str">
        <f>IF(OR(S32="Preventivo",S32="Detectivo"),"Probabilidad",IF(S32="Correctivo","Impacto",""))</f>
        <v>Probabilidad</v>
      </c>
      <c r="S32" s="78" t="s">
        <v>144</v>
      </c>
      <c r="T32" s="78" t="s">
        <v>152</v>
      </c>
      <c r="U32" s="109" t="str">
        <f>IF(AND(S32="Preventivo",T32="Automático"),"50%",IF(AND(S32="Preventivo",T32="Manual"),"40%",IF(AND(S32="Detectivo",T32="Automático"),"40%",IF(AND(S32="Detectivo",T32="Manual"),"30%",IF(AND(S32="Correctivo",T32="Automático"),"35%",IF(AND(S32="Correctivo",T32="Manual"),"25%",""))))))</f>
        <v>40%</v>
      </c>
      <c r="V32" s="78" t="s">
        <v>155</v>
      </c>
      <c r="W32" s="78" t="s">
        <v>159</v>
      </c>
      <c r="X32" s="78" t="s">
        <v>163</v>
      </c>
      <c r="Y32" s="110">
        <f>IFERROR(IF(R32="Probabilidad",(J32-(+J32*U32)),IF(R32="Impacto",J32,"")),"")</f>
        <v>0.12</v>
      </c>
      <c r="Z32" s="111" t="str">
        <f>IFERROR(IF(Y32="","",IF(Y32&lt;=0.2,"Rara vez",IF(Y32&lt;=0.4,"Improbable",IF(Y32&lt;=0.6,"Posible",IF(Y32&lt;=0.8,"Probable","Casi Seguro"))))),"")</f>
        <v>Rara vez</v>
      </c>
      <c r="AA32" s="109">
        <f>+Y32</f>
        <v>0.12</v>
      </c>
      <c r="AB32" s="111" t="str">
        <f>IFERROR(IF(AC32="","",IF(AC32&lt;=0.6,"Moderado",IF(AC32&lt;=0.8,"Mayor","Catastrófico"))),"")</f>
        <v>Mayor</v>
      </c>
      <c r="AC32" s="109">
        <f>IFERROR(IF(R32="Impacto",(N32-(+N32*U32)),IF(R32="Probabilidad",N32,"")),"")</f>
        <v>0.8</v>
      </c>
      <c r="AD32" s="77" t="str">
        <f>IFERROR(IF(OR(AND(Z32="Rara vez",AB32="Leve"),AND(Z32="Rara vez",AB32="Menor"),AND(Z32="Improbable",AB32="Leve")),"Bajo",IF(OR(AND(Z32="Rara vez",AB32="Moderado"),AND(Z32="Improbable",AB32="Menor"),AND(Z32="Improbable",AB32="Moderado"),AND(Z32="Posible",AB32="Leve"),AND(Z32="Posible",AB32="Menor"),AND(Z32="Posible",AB32="Moderado"),AND(Z32="Probable",AB32="Leve"),AND(Z32="Probable",AB32="Menor")),"Moderado",IF(OR(AND(Z32="Rara vez",AB32="Mayor"),AND(Z32="Improbable",AB32="Mayor"),AND(Z32="Posible",AB32="Mayor"),AND(Z32="Probable",AB32="Moderado"),AND(Z32="Probable",AB32="Mayor"),AND(Z32="Casi Seguro",AB32="Leve"),AND(Z32="Casi Seguro",AB32="Menor"),AND(Z32="Casi Seguro",AB32="Moderado"),AND(Z32="Casi Seguro",AB32="Mayor")),"Alto",IF(OR(AND(Z32="Rara vez",AB32="Catastrófico"),AND(Z32="Improbable",AB32="Catastrófico"),AND(Z32="Posible",AB32="Catastrófico"),AND(Z32="Probable",AB32="Catastrófico"),AND(Z32="Casi Seguro",AB32="Catastrófico")),"Extremo","")))),"")</f>
        <v>Alto</v>
      </c>
      <c r="AE32" s="78"/>
      <c r="AF32" s="105"/>
      <c r="AG32" s="112"/>
      <c r="AH32" s="113"/>
      <c r="AI32" s="113"/>
      <c r="AJ32" s="105"/>
      <c r="AK32" s="114"/>
      <c r="AL32" s="140">
        <v>45418</v>
      </c>
      <c r="AM32" s="135" t="s">
        <v>222</v>
      </c>
      <c r="AN32" s="134" t="str">
        <f>+O32</f>
        <v>Alto</v>
      </c>
      <c r="AO32" s="393" t="str">
        <f>+AD34</f>
        <v>Moderado</v>
      </c>
      <c r="AP32" s="43"/>
      <c r="AQ32" s="43"/>
      <c r="AR32" s="43"/>
      <c r="AS32" s="43"/>
      <c r="AT32" s="43"/>
      <c r="AU32" s="43"/>
      <c r="AV32" s="43"/>
      <c r="AW32" s="43"/>
      <c r="AX32" s="43"/>
      <c r="AY32" s="43"/>
      <c r="AZ32" s="43"/>
      <c r="BA32" s="43"/>
      <c r="BB32" s="43"/>
      <c r="BC32" s="43"/>
      <c r="BD32" s="43"/>
      <c r="BE32" s="43"/>
      <c r="BF32" s="43"/>
      <c r="BG32" s="43"/>
      <c r="BH32" s="43"/>
      <c r="BI32" s="43"/>
      <c r="BJ32" s="43"/>
      <c r="BK32" s="43"/>
      <c r="BL32" s="43"/>
      <c r="BM32" s="43"/>
    </row>
    <row r="33" spans="2:65" ht="53.25" customHeight="1" x14ac:dyDescent="0.2">
      <c r="B33" s="141"/>
      <c r="C33" s="142"/>
      <c r="D33" s="136"/>
      <c r="E33" s="142"/>
      <c r="F33" s="142"/>
      <c r="G33" s="136"/>
      <c r="H33" s="142"/>
      <c r="I33" s="139"/>
      <c r="J33" s="138"/>
      <c r="K33" s="137"/>
      <c r="L33" s="138">
        <f>IF(NOT(ISERROR(MATCH(K33,_xlfn.ANCHORARRAY(G44),0))),J46&amp;"Por favor no seleccionar los criterios de impacto",K33)</f>
        <v>0</v>
      </c>
      <c r="M33" s="139"/>
      <c r="N33" s="138"/>
      <c r="O33" s="134"/>
      <c r="P33" s="106">
        <v>2</v>
      </c>
      <c r="Q33" s="115" t="s">
        <v>265</v>
      </c>
      <c r="R33" s="108" t="str">
        <f>IF(OR(S33="Preventivo",S33="Detectivo"),"Probabilidad",IF(S33="Correctivo","Impacto",""))</f>
        <v>Probabilidad</v>
      </c>
      <c r="S33" s="78" t="s">
        <v>146</v>
      </c>
      <c r="T33" s="78" t="s">
        <v>152</v>
      </c>
      <c r="U33" s="109" t="str">
        <f t="shared" ref="U33:U37" si="35">IF(AND(S33="Preventivo",T33="Automático"),"50%",IF(AND(S33="Preventivo",T33="Manual"),"40%",IF(AND(S33="Detectivo",T33="Automático"),"40%",IF(AND(S33="Detectivo",T33="Manual"),"30%",IF(AND(S33="Correctivo",T33="Automático"),"35%",IF(AND(S33="Correctivo",T33="Manual"),"25%",""))))))</f>
        <v>30%</v>
      </c>
      <c r="V33" s="78" t="s">
        <v>157</v>
      </c>
      <c r="W33" s="78" t="s">
        <v>159</v>
      </c>
      <c r="X33" s="78" t="s">
        <v>165</v>
      </c>
      <c r="Y33" s="110">
        <f>IFERROR(IF(AND(R32="Probabilidad",R33="Probabilidad"),(AA32-(+AA32*U33)),IF(R33="Probabilidad",(J32-(+J32*U33)),IF(R33="Impacto",AA32,""))),"")</f>
        <v>8.3999999999999991E-2</v>
      </c>
      <c r="Z33" s="111" t="str">
        <f t="shared" ref="Z33:Z43" si="36">IFERROR(IF(Y33="","",IF(Y33&lt;=0.2,"Rara vez",IF(Y33&lt;=0.4,"Improbable",IF(Y33&lt;=0.6,"Posible",IF(Y33&lt;=0.8,"Probable","Casi Seguro"))))),"")</f>
        <v>Rara vez</v>
      </c>
      <c r="AA33" s="109">
        <f t="shared" ref="AA33:AA37" si="37">+Y33</f>
        <v>8.3999999999999991E-2</v>
      </c>
      <c r="AB33" s="111" t="str">
        <f t="shared" ref="AB33:AB43" si="38">IFERROR(IF(AC33="","",IF(AC33&lt;=0.6,"Moderado",IF(AC33&lt;=0.8,"Mayor","Catastrófico"))),"")</f>
        <v>Mayor</v>
      </c>
      <c r="AC33" s="109">
        <f>IFERROR(IF(AND(R32="Impacto",R33="Impacto"),(AC32-(+AC32*U33)),IF(R33="Impacto",(N32-(+N32*U33)),IF(R33="Probabilidad",AC32,""))),"")</f>
        <v>0.8</v>
      </c>
      <c r="AD33" s="77" t="str">
        <f t="shared" ref="AD33:AD43" si="39">IFERROR(IF(OR(AND(Z33="Rara vez",AB33="Leve"),AND(Z33="Rara vez",AB33="Menor"),AND(Z33="Improbable",AB33="Leve")),"Bajo",IF(OR(AND(Z33="Rara vez",AB33="Moderado"),AND(Z33="Improbable",AB33="Menor"),AND(Z33="Improbable",AB33="Moderado"),AND(Z33="Posible",AB33="Leve"),AND(Z33="Posible",AB33="Menor"),AND(Z33="Posible",AB33="Moderado"),AND(Z33="Probable",AB33="Leve"),AND(Z33="Probable",AB33="Menor")),"Moderado",IF(OR(AND(Z33="Rara vez",AB33="Mayor"),AND(Z33="Improbable",AB33="Mayor"),AND(Z33="Posible",AB33="Mayor"),AND(Z33="Probable",AB33="Moderado"),AND(Z33="Probable",AB33="Mayor"),AND(Z33="Casi Seguro",AB33="Leve"),AND(Z33="Casi Seguro",AB33="Menor"),AND(Z33="Casi Seguro",AB33="Moderado"),AND(Z33="Casi Seguro",AB33="Mayor")),"Alto",IF(OR(AND(Z33="Rara vez",AB33="Catastrófico"),AND(Z33="Improbable",AB33="Catastrófico"),AND(Z33="Posible",AB33="Catastrófico"),AND(Z33="Probable",AB33="Catastrófico"),AND(Z33="Casi Seguro",AB33="Catastrófico")),"Extremo","")))),"")</f>
        <v>Alto</v>
      </c>
      <c r="AE33" s="78"/>
      <c r="AF33" s="105"/>
      <c r="AG33" s="112"/>
      <c r="AH33" s="113"/>
      <c r="AI33" s="113"/>
      <c r="AJ33" s="105"/>
      <c r="AK33" s="114"/>
      <c r="AL33" s="170"/>
      <c r="AM33" s="136"/>
      <c r="AN33" s="134"/>
      <c r="AO33" s="393"/>
      <c r="AP33" s="43"/>
      <c r="AQ33" s="43"/>
      <c r="AR33" s="43"/>
      <c r="AS33" s="43"/>
      <c r="AT33" s="43"/>
      <c r="AU33" s="43"/>
      <c r="AV33" s="43"/>
      <c r="AW33" s="43"/>
      <c r="AX33" s="43"/>
      <c r="AY33" s="43"/>
      <c r="AZ33" s="43"/>
      <c r="BA33" s="43"/>
      <c r="BB33" s="43"/>
      <c r="BC33" s="43"/>
      <c r="BD33" s="43"/>
      <c r="BE33" s="43"/>
      <c r="BF33" s="43"/>
      <c r="BG33" s="43"/>
      <c r="BH33" s="43"/>
      <c r="BI33" s="43"/>
      <c r="BJ33" s="43"/>
      <c r="BK33" s="43"/>
      <c r="BL33" s="43"/>
      <c r="BM33" s="43"/>
    </row>
    <row r="34" spans="2:65" ht="99.75" customHeight="1" x14ac:dyDescent="0.2">
      <c r="B34" s="141"/>
      <c r="C34" s="142"/>
      <c r="D34" s="136"/>
      <c r="E34" s="142"/>
      <c r="F34" s="142"/>
      <c r="G34" s="136"/>
      <c r="H34" s="142"/>
      <c r="I34" s="139"/>
      <c r="J34" s="138"/>
      <c r="K34" s="137"/>
      <c r="L34" s="138">
        <f>IF(NOT(ISERROR(MATCH(K34,_xlfn.ANCHORARRAY(G45),0))),J47&amp;"Por favor no seleccionar los criterios de impacto",K34)</f>
        <v>0</v>
      </c>
      <c r="M34" s="139"/>
      <c r="N34" s="138"/>
      <c r="O34" s="134"/>
      <c r="P34" s="106">
        <v>3</v>
      </c>
      <c r="Q34" s="115" t="s">
        <v>266</v>
      </c>
      <c r="R34" s="108" t="str">
        <f>IF(OR(S34="Preventivo",S34="Detectivo"),"Probabilidad",IF(S34="Correctivo","Impacto",""))</f>
        <v>Impacto</v>
      </c>
      <c r="S34" s="78" t="s">
        <v>148</v>
      </c>
      <c r="T34" s="78" t="s">
        <v>152</v>
      </c>
      <c r="U34" s="109" t="str">
        <f t="shared" si="35"/>
        <v>25%</v>
      </c>
      <c r="V34" s="78" t="s">
        <v>155</v>
      </c>
      <c r="W34" s="78" t="s">
        <v>159</v>
      </c>
      <c r="X34" s="78" t="s">
        <v>163</v>
      </c>
      <c r="Y34" s="110">
        <f>IFERROR(IF(AND(R33="Probabilidad",R34="Probabilidad"),(AA33-(+AA33*U34)),IF(AND(R33="Impacto",R34="Probabilidad"),(AA32-(+AA32*U34)),IF(R34="Impacto",AA33,""))),"")</f>
        <v>8.3999999999999991E-2</v>
      </c>
      <c r="Z34" s="111" t="str">
        <f t="shared" si="36"/>
        <v>Rara vez</v>
      </c>
      <c r="AA34" s="109">
        <f t="shared" si="37"/>
        <v>8.3999999999999991E-2</v>
      </c>
      <c r="AB34" s="111" t="str">
        <f t="shared" si="38"/>
        <v>Moderado</v>
      </c>
      <c r="AC34" s="109">
        <f>IFERROR(IF(AND(R33="Impacto",R34="Impacto"),(AC33-(+AC33*U34)),IF(AND(R33="Probabilidad",R34="Impacto"),(AC32-(+AC32*U34)),IF(R34="Probabilidad",AC33,""))),"")</f>
        <v>0.60000000000000009</v>
      </c>
      <c r="AD34" s="77" t="str">
        <f t="shared" si="39"/>
        <v>Moderado</v>
      </c>
      <c r="AE34" s="78" t="s">
        <v>173</v>
      </c>
      <c r="AF34" s="105" t="s">
        <v>267</v>
      </c>
      <c r="AG34" s="112" t="s">
        <v>268</v>
      </c>
      <c r="AH34" s="113">
        <v>45657</v>
      </c>
      <c r="AI34" s="113">
        <v>45688</v>
      </c>
      <c r="AJ34" s="105"/>
      <c r="AK34" s="112" t="s">
        <v>176</v>
      </c>
      <c r="AL34" s="170"/>
      <c r="AM34" s="136"/>
      <c r="AN34" s="134"/>
      <c r="AO34" s="39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row>
    <row r="35" spans="2:65" x14ac:dyDescent="0.2">
      <c r="B35" s="141"/>
      <c r="C35" s="142"/>
      <c r="D35" s="136"/>
      <c r="E35" s="142"/>
      <c r="F35" s="142"/>
      <c r="G35" s="136"/>
      <c r="H35" s="142"/>
      <c r="I35" s="139"/>
      <c r="J35" s="138"/>
      <c r="K35" s="137"/>
      <c r="L35" s="138">
        <f>IF(NOT(ISERROR(MATCH(K35,_xlfn.ANCHORARRAY(G46),0))),J48&amp;"Por favor no seleccionar los criterios de impacto",K35)</f>
        <v>0</v>
      </c>
      <c r="M35" s="139"/>
      <c r="N35" s="138"/>
      <c r="O35" s="134"/>
      <c r="P35" s="106">
        <v>4</v>
      </c>
      <c r="Q35" s="115"/>
      <c r="R35" s="108" t="str">
        <f t="shared" ref="R35:R37" si="40">IF(OR(S35="Preventivo",S35="Detectivo"),"Probabilidad",IF(S35="Correctivo","Impacto",""))</f>
        <v/>
      </c>
      <c r="S35" s="78"/>
      <c r="T35" s="78"/>
      <c r="U35" s="109" t="str">
        <f t="shared" si="35"/>
        <v/>
      </c>
      <c r="V35" s="78"/>
      <c r="W35" s="78"/>
      <c r="X35" s="78"/>
      <c r="Y35" s="110" t="str">
        <f t="shared" ref="Y35:Y37" si="41">IFERROR(IF(AND(R34="Probabilidad",R35="Probabilidad"),(AA34-(+AA34*U35)),IF(AND(R34="Impacto",R35="Probabilidad"),(AA33-(+AA33*U35)),IF(R35="Impacto",AA34,""))),"")</f>
        <v/>
      </c>
      <c r="Z35" s="111" t="str">
        <f t="shared" si="36"/>
        <v/>
      </c>
      <c r="AA35" s="109" t="str">
        <f t="shared" si="37"/>
        <v/>
      </c>
      <c r="AB35" s="111" t="str">
        <f t="shared" si="38"/>
        <v/>
      </c>
      <c r="AC35" s="109" t="str">
        <f t="shared" ref="AC35:AC37" si="42">IFERROR(IF(AND(R34="Impacto",R35="Impacto"),(AC34-(+AC34*U35)),IF(AND(R34="Probabilidad",R35="Impacto"),(AC33-(+AC33*U35)),IF(R35="Probabilidad",AC34,""))),"")</f>
        <v/>
      </c>
      <c r="AD35" s="77" t="str">
        <f t="shared" si="39"/>
        <v/>
      </c>
      <c r="AE35" s="78"/>
      <c r="AF35" s="105"/>
      <c r="AG35" s="112"/>
      <c r="AH35" s="113"/>
      <c r="AI35" s="113"/>
      <c r="AJ35" s="105"/>
      <c r="AK35" s="114"/>
      <c r="AL35" s="170"/>
      <c r="AM35" s="136"/>
      <c r="AN35" s="134"/>
      <c r="AO35" s="39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row>
    <row r="36" spans="2:65" x14ac:dyDescent="0.2">
      <c r="B36" s="141"/>
      <c r="C36" s="142"/>
      <c r="D36" s="136"/>
      <c r="E36" s="142"/>
      <c r="F36" s="142"/>
      <c r="G36" s="136"/>
      <c r="H36" s="142"/>
      <c r="I36" s="139"/>
      <c r="J36" s="138"/>
      <c r="K36" s="137"/>
      <c r="L36" s="138">
        <f>IF(NOT(ISERROR(MATCH(K36,_xlfn.ANCHORARRAY(G47),0))),J49&amp;"Por favor no seleccionar los criterios de impacto",K36)</f>
        <v>0</v>
      </c>
      <c r="M36" s="139"/>
      <c r="N36" s="138"/>
      <c r="O36" s="134"/>
      <c r="P36" s="106">
        <v>5</v>
      </c>
      <c r="Q36" s="115"/>
      <c r="R36" s="108" t="str">
        <f t="shared" si="40"/>
        <v/>
      </c>
      <c r="S36" s="78"/>
      <c r="T36" s="78"/>
      <c r="U36" s="109" t="str">
        <f t="shared" si="35"/>
        <v/>
      </c>
      <c r="V36" s="78"/>
      <c r="W36" s="78"/>
      <c r="X36" s="78"/>
      <c r="Y36" s="110" t="str">
        <f t="shared" si="41"/>
        <v/>
      </c>
      <c r="Z36" s="111" t="str">
        <f t="shared" si="36"/>
        <v/>
      </c>
      <c r="AA36" s="109" t="str">
        <f t="shared" si="37"/>
        <v/>
      </c>
      <c r="AB36" s="111" t="str">
        <f t="shared" si="38"/>
        <v/>
      </c>
      <c r="AC36" s="109" t="str">
        <f t="shared" si="42"/>
        <v/>
      </c>
      <c r="AD36" s="77" t="str">
        <f t="shared" si="39"/>
        <v/>
      </c>
      <c r="AE36" s="78"/>
      <c r="AF36" s="105"/>
      <c r="AG36" s="112"/>
      <c r="AH36" s="113"/>
      <c r="AI36" s="113"/>
      <c r="AJ36" s="105"/>
      <c r="AK36" s="114"/>
      <c r="AL36" s="170"/>
      <c r="AM36" s="136"/>
      <c r="AN36" s="134"/>
      <c r="AO36" s="393"/>
      <c r="AP36" s="43"/>
      <c r="AQ36" s="43"/>
      <c r="AR36" s="43"/>
      <c r="AS36" s="43"/>
      <c r="AT36" s="43"/>
      <c r="AU36" s="43"/>
      <c r="AV36" s="43"/>
      <c r="AW36" s="43"/>
      <c r="AX36" s="43"/>
      <c r="AY36" s="43"/>
      <c r="AZ36" s="43"/>
      <c r="BA36" s="43"/>
      <c r="BB36" s="43"/>
      <c r="BC36" s="43"/>
      <c r="BD36" s="43"/>
      <c r="BE36" s="43"/>
      <c r="BF36" s="43"/>
      <c r="BG36" s="43"/>
      <c r="BH36" s="43"/>
      <c r="BI36" s="43"/>
      <c r="BJ36" s="43"/>
      <c r="BK36" s="43"/>
      <c r="BL36" s="43"/>
      <c r="BM36" s="43"/>
    </row>
    <row r="37" spans="2:65" x14ac:dyDescent="0.2">
      <c r="B37" s="141"/>
      <c r="C37" s="142"/>
      <c r="D37" s="136"/>
      <c r="E37" s="142"/>
      <c r="F37" s="142"/>
      <c r="G37" s="136"/>
      <c r="H37" s="142"/>
      <c r="I37" s="139"/>
      <c r="J37" s="138"/>
      <c r="K37" s="137"/>
      <c r="L37" s="138">
        <f>IF(NOT(ISERROR(MATCH(K37,_xlfn.ANCHORARRAY(G48),0))),J50&amp;"Por favor no seleccionar los criterios de impacto",K37)</f>
        <v>0</v>
      </c>
      <c r="M37" s="139"/>
      <c r="N37" s="138"/>
      <c r="O37" s="134"/>
      <c r="P37" s="106">
        <v>6</v>
      </c>
      <c r="Q37" s="115"/>
      <c r="R37" s="108" t="str">
        <f t="shared" si="40"/>
        <v/>
      </c>
      <c r="S37" s="78"/>
      <c r="T37" s="78"/>
      <c r="U37" s="109" t="str">
        <f t="shared" si="35"/>
        <v/>
      </c>
      <c r="V37" s="78"/>
      <c r="W37" s="78"/>
      <c r="X37" s="78"/>
      <c r="Y37" s="110" t="str">
        <f t="shared" si="41"/>
        <v/>
      </c>
      <c r="Z37" s="111" t="str">
        <f t="shared" si="36"/>
        <v/>
      </c>
      <c r="AA37" s="109" t="str">
        <f t="shared" si="37"/>
        <v/>
      </c>
      <c r="AB37" s="111" t="str">
        <f t="shared" si="38"/>
        <v/>
      </c>
      <c r="AC37" s="109" t="str">
        <f t="shared" si="42"/>
        <v/>
      </c>
      <c r="AD37" s="77" t="str">
        <f t="shared" si="39"/>
        <v/>
      </c>
      <c r="AE37" s="78"/>
      <c r="AF37" s="105"/>
      <c r="AG37" s="112"/>
      <c r="AH37" s="113"/>
      <c r="AI37" s="113"/>
      <c r="AJ37" s="105"/>
      <c r="AK37" s="114"/>
      <c r="AL37" s="170"/>
      <c r="AM37" s="136"/>
      <c r="AN37" s="134"/>
      <c r="AO37" s="393"/>
      <c r="AP37" s="43"/>
      <c r="AQ37" s="43"/>
      <c r="AR37" s="43"/>
      <c r="AS37" s="43"/>
      <c r="AT37" s="43"/>
      <c r="AU37" s="43"/>
      <c r="AV37" s="43"/>
      <c r="AW37" s="43"/>
      <c r="AX37" s="43"/>
      <c r="AY37" s="43"/>
      <c r="AZ37" s="43"/>
      <c r="BA37" s="43"/>
      <c r="BB37" s="43"/>
      <c r="BC37" s="43"/>
      <c r="BD37" s="43"/>
      <c r="BE37" s="43"/>
      <c r="BF37" s="43"/>
      <c r="BG37" s="43"/>
      <c r="BH37" s="43"/>
      <c r="BI37" s="43"/>
      <c r="BJ37" s="43"/>
      <c r="BK37" s="43"/>
      <c r="BL37" s="43"/>
      <c r="BM37" s="43"/>
    </row>
    <row r="38" spans="2:65" ht="114.75" customHeight="1" x14ac:dyDescent="0.2">
      <c r="B38" s="141" t="s">
        <v>269</v>
      </c>
      <c r="C38" s="142" t="s">
        <v>203</v>
      </c>
      <c r="D38" s="136" t="s">
        <v>270</v>
      </c>
      <c r="E38" s="142" t="s">
        <v>261</v>
      </c>
      <c r="F38" s="142" t="s">
        <v>262</v>
      </c>
      <c r="G38" s="136" t="s">
        <v>263</v>
      </c>
      <c r="H38" s="142" t="s">
        <v>61</v>
      </c>
      <c r="I38" s="139" t="str">
        <f t="shared" ref="I38" si="43">IF(H38&lt;=0,"",IF(H38="No se ha presentado en los últimos 5 años","Rara vez",IF(H38="Al menos 1 vez en los últimos 5 años","Improbable",IF(H38="Al menos 1 vez en los últimos 2 años","Posible",IF(H38="Al menos 1 vez en el último año","Probable",IF(H38="Más de 1 vez al año","Casi Seguro"))))))</f>
        <v>Rara vez</v>
      </c>
      <c r="J38" s="138">
        <f t="shared" ref="J38" si="44">IF(I38="","",IF(I38="Rara vez",0.2,IF(I38="Improbable",0.4,IF(I38="Posible",0.6,IF(I38="Probable",0.8,IF(I38="Casi Seguro",1,))))))</f>
        <v>0.2</v>
      </c>
      <c r="K38" s="137" t="s">
        <v>76</v>
      </c>
      <c r="L38" s="138" t="str">
        <f>IF(NOT(ISERROR(MATCH(K38,'[5]Tabla Impacto'!$B$220:$B$222,0))),'[5]Tabla Impacto'!$F$222&amp;"Por favor no seleccionar los criterios de impacto(Afectación Económica o presupuestal y Pérdida Reputacional)",K38)</f>
        <v>Responder afirmativamente de SEIS a ONCE</v>
      </c>
      <c r="M38" s="139" t="str">
        <f>IF(OR(L38='[5]Tabla Impacto'!$C$5),"Moderado",IF(OR(L38='[5]Tabla Impacto'!$C$6),"Mayor",IF(OR(L38='[5]Tabla Impacto'!$C$7),"Catastrófico","")))</f>
        <v>Mayor</v>
      </c>
      <c r="N38" s="138">
        <f>IF(M38="","",IF(M38="Leve",0.2,IF(M38="Menor",0.4,IF(M38="Moderado",0.6,IF(M38="Mayor",0.8,IF(M38="Catastrófico",1,))))))</f>
        <v>0.8</v>
      </c>
      <c r="O38" s="134" t="str">
        <f>IF(OR(AND(I38="Rara vez",M38="Leve"),AND(I38="Rara vez",M38="Menor"),AND(I38="Improbable",M38="Leve")),"Bajo",IF(OR(AND(I38="Rara vez",M38="Moderado"),AND(I38="Improbable",M38="Menor"),AND(I38="Improbable",M38="Moderado"),AND(I38="Posible",M38="Leve"),AND(I38="Posible",M38="Menor"),AND(I38="Posible",M38="Moderado"),AND(I38="Probable",M38="Leve"),AND(I38="Probable",M38="Menor")),"Moderado",IF(OR(AND(I38="Rara vez",M38="Mayor"),AND(I38="Improbable",M38="Mayor"),AND(I38="Posible",M38="Mayor"),AND(I38="Probable",M38="Moderado"),AND(I38="Probable",M38="Mayor"),AND(I38="Casi Seguro",M38="Leve"),AND(I38="Casi Seguro",M38="Menor"),AND(I38="Casi Seguro",M38="Moderado"),AND(I38="Casi Seguro",M38="Mayor")),"Alto",IF(OR(AND(I38="Rara vez",M38="Catastrófico"),AND(I38="Improbable",M38="Catastrófico"),AND(I38="Posible",M38="Catastrófico"),AND(I38="Probable",M38="Catastrófico"),AND(I38="Casi Seguro",M38="Catastrófico")),"Extremo",""))))</f>
        <v>Alto</v>
      </c>
      <c r="P38" s="106">
        <v>1</v>
      </c>
      <c r="Q38" s="115" t="s">
        <v>271</v>
      </c>
      <c r="R38" s="108" t="str">
        <f>IF(OR(S38="Preventivo",S38="Detectivo"),"Probabilidad",IF(S38="Correctivo","Impacto",""))</f>
        <v>Probabilidad</v>
      </c>
      <c r="S38" s="78" t="s">
        <v>144</v>
      </c>
      <c r="T38" s="78" t="s">
        <v>152</v>
      </c>
      <c r="U38" s="109" t="str">
        <f>IF(AND(S38="Preventivo",T38="Automático"),"50%",IF(AND(S38="Preventivo",T38="Manual"),"40%",IF(AND(S38="Detectivo",T38="Automático"),"40%",IF(AND(S38="Detectivo",T38="Manual"),"30%",IF(AND(S38="Correctivo",T38="Automático"),"35%",IF(AND(S38="Correctivo",T38="Manual"),"25%",""))))))</f>
        <v>40%</v>
      </c>
      <c r="V38" s="78" t="s">
        <v>155</v>
      </c>
      <c r="W38" s="78" t="s">
        <v>159</v>
      </c>
      <c r="X38" s="78" t="s">
        <v>165</v>
      </c>
      <c r="Y38" s="110">
        <f>IFERROR(IF(R38="Probabilidad",(J38-(+J38*U38)),IF(R38="Impacto",J38,"")),"")</f>
        <v>0.12</v>
      </c>
      <c r="Z38" s="111" t="str">
        <f t="shared" si="36"/>
        <v>Rara vez</v>
      </c>
      <c r="AA38" s="109">
        <f>+Y38</f>
        <v>0.12</v>
      </c>
      <c r="AB38" s="111" t="str">
        <f t="shared" si="38"/>
        <v>Mayor</v>
      </c>
      <c r="AC38" s="109">
        <f>IFERROR(IF(R38="Impacto",(N38-(+N38*U38)),IF(R38="Probabilidad",N38,"")),"")</f>
        <v>0.8</v>
      </c>
      <c r="AD38" s="77" t="str">
        <f t="shared" si="39"/>
        <v>Alto</v>
      </c>
      <c r="AE38" s="78"/>
      <c r="AF38" s="105"/>
      <c r="AG38" s="112"/>
      <c r="AH38" s="113"/>
      <c r="AI38" s="113"/>
      <c r="AJ38" s="105"/>
      <c r="AK38" s="114"/>
      <c r="AL38" s="140">
        <v>45438</v>
      </c>
      <c r="AM38" s="135" t="s">
        <v>222</v>
      </c>
      <c r="AN38" s="134" t="str">
        <f>+O38</f>
        <v>Alto</v>
      </c>
      <c r="AO38" s="393" t="str">
        <f>+AD38</f>
        <v>Alto</v>
      </c>
      <c r="AP38" s="43"/>
      <c r="AQ38" s="43"/>
      <c r="AR38" s="43"/>
      <c r="AS38" s="43"/>
      <c r="AT38" s="43"/>
      <c r="AU38" s="43"/>
      <c r="AV38" s="43"/>
      <c r="AW38" s="43"/>
      <c r="AX38" s="43"/>
      <c r="AY38" s="43"/>
      <c r="AZ38" s="43"/>
      <c r="BA38" s="43"/>
      <c r="BB38" s="43"/>
      <c r="BC38" s="43"/>
      <c r="BD38" s="43"/>
      <c r="BE38" s="43"/>
      <c r="BF38" s="43"/>
      <c r="BG38" s="43"/>
      <c r="BH38" s="43"/>
      <c r="BI38" s="43"/>
      <c r="BJ38" s="43"/>
      <c r="BK38" s="43"/>
      <c r="BL38" s="43"/>
      <c r="BM38" s="43"/>
    </row>
    <row r="39" spans="2:65" ht="53.25" customHeight="1" x14ac:dyDescent="0.2">
      <c r="B39" s="141"/>
      <c r="C39" s="142"/>
      <c r="D39" s="136"/>
      <c r="E39" s="142"/>
      <c r="F39" s="142"/>
      <c r="G39" s="136"/>
      <c r="H39" s="142"/>
      <c r="I39" s="139"/>
      <c r="J39" s="138"/>
      <c r="K39" s="137"/>
      <c r="L39" s="138">
        <f>IF(NOT(ISERROR(MATCH(K39,_xlfn.ANCHORARRAY(G50),0))),J52&amp;"Por favor no seleccionar los criterios de impacto",K39)</f>
        <v>0</v>
      </c>
      <c r="M39" s="139"/>
      <c r="N39" s="138"/>
      <c r="O39" s="134"/>
      <c r="P39" s="106">
        <v>2</v>
      </c>
      <c r="Q39" s="115" t="s">
        <v>272</v>
      </c>
      <c r="R39" s="108" t="str">
        <f>IF(OR(S39="Preventivo",S39="Detectivo"),"Probabilidad",IF(S39="Correctivo","Impacto",""))</f>
        <v>Probabilidad</v>
      </c>
      <c r="S39" s="78" t="s">
        <v>146</v>
      </c>
      <c r="T39" s="78" t="s">
        <v>152</v>
      </c>
      <c r="U39" s="109" t="str">
        <f t="shared" ref="U39:U43" si="45">IF(AND(S39="Preventivo",T39="Automático"),"50%",IF(AND(S39="Preventivo",T39="Manual"),"40%",IF(AND(S39="Detectivo",T39="Automático"),"40%",IF(AND(S39="Detectivo",T39="Manual"),"30%",IF(AND(S39="Correctivo",T39="Automático"),"35%",IF(AND(S39="Correctivo",T39="Manual"),"25%",""))))))</f>
        <v>30%</v>
      </c>
      <c r="V39" s="78" t="s">
        <v>155</v>
      </c>
      <c r="W39" s="78" t="s">
        <v>159</v>
      </c>
      <c r="X39" s="78" t="s">
        <v>165</v>
      </c>
      <c r="Y39" s="110">
        <f>IFERROR(IF(AND(R38="Probabilidad",R39="Probabilidad"),(AA38-(+AA38*U39)),IF(R39="Probabilidad",(J38-(+J38*U39)),IF(R39="Impacto",AA38,""))),"")</f>
        <v>8.3999999999999991E-2</v>
      </c>
      <c r="Z39" s="111" t="str">
        <f t="shared" si="36"/>
        <v>Rara vez</v>
      </c>
      <c r="AA39" s="109">
        <f t="shared" ref="AA39:AA43" si="46">+Y39</f>
        <v>8.3999999999999991E-2</v>
      </c>
      <c r="AB39" s="111" t="str">
        <f t="shared" si="38"/>
        <v>Mayor</v>
      </c>
      <c r="AC39" s="109">
        <f>IFERROR(IF(AND(R38="Impacto",R39="Impacto"),(AC38-(+AC38*U39)),IF(R39="Impacto",(N38-(+N38*U39)),IF(R39="Probabilidad",AC38,""))),"")</f>
        <v>0.8</v>
      </c>
      <c r="AD39" s="77" t="str">
        <f t="shared" si="39"/>
        <v>Alto</v>
      </c>
      <c r="AE39" s="78"/>
      <c r="AF39" s="105"/>
      <c r="AG39" s="112"/>
      <c r="AH39" s="113"/>
      <c r="AI39" s="113"/>
      <c r="AJ39" s="105"/>
      <c r="AK39" s="114"/>
      <c r="AL39" s="170"/>
      <c r="AM39" s="136"/>
      <c r="AN39" s="134"/>
      <c r="AO39" s="393"/>
      <c r="AP39" s="43"/>
      <c r="AQ39" s="43"/>
      <c r="AR39" s="43"/>
      <c r="AS39" s="43"/>
      <c r="AT39" s="43"/>
      <c r="AU39" s="43"/>
      <c r="AV39" s="43"/>
      <c r="AW39" s="43"/>
      <c r="AX39" s="43"/>
      <c r="AY39" s="43"/>
      <c r="AZ39" s="43"/>
      <c r="BA39" s="43"/>
      <c r="BB39" s="43"/>
      <c r="BC39" s="43"/>
      <c r="BD39" s="43"/>
      <c r="BE39" s="43"/>
      <c r="BF39" s="43"/>
      <c r="BG39" s="43"/>
      <c r="BH39" s="43"/>
      <c r="BI39" s="43"/>
      <c r="BJ39" s="43"/>
      <c r="BK39" s="43"/>
      <c r="BL39" s="43"/>
      <c r="BM39" s="43"/>
    </row>
    <row r="40" spans="2:65" ht="53.25" customHeight="1" x14ac:dyDescent="0.2">
      <c r="B40" s="141"/>
      <c r="C40" s="142"/>
      <c r="D40" s="136"/>
      <c r="E40" s="142"/>
      <c r="F40" s="142"/>
      <c r="G40" s="136"/>
      <c r="H40" s="142"/>
      <c r="I40" s="139"/>
      <c r="J40" s="138"/>
      <c r="K40" s="137"/>
      <c r="L40" s="138">
        <f>IF(NOT(ISERROR(MATCH(K40,_xlfn.ANCHORARRAY(G51),0))),J53&amp;"Por favor no seleccionar los criterios de impacto",K40)</f>
        <v>0</v>
      </c>
      <c r="M40" s="139"/>
      <c r="N40" s="138"/>
      <c r="O40" s="134"/>
      <c r="P40" s="106">
        <v>3</v>
      </c>
      <c r="Q40" s="115" t="s">
        <v>273</v>
      </c>
      <c r="R40" s="108" t="str">
        <f>IF(OR(S40="Preventivo",S40="Detectivo"),"Probabilidad",IF(S40="Correctivo","Impacto",""))</f>
        <v>Probabilidad</v>
      </c>
      <c r="S40" s="78" t="s">
        <v>144</v>
      </c>
      <c r="T40" s="78" t="s">
        <v>152</v>
      </c>
      <c r="U40" s="109" t="str">
        <f t="shared" si="45"/>
        <v>40%</v>
      </c>
      <c r="V40" s="78" t="s">
        <v>155</v>
      </c>
      <c r="W40" s="78" t="s">
        <v>159</v>
      </c>
      <c r="X40" s="78" t="s">
        <v>165</v>
      </c>
      <c r="Y40" s="110">
        <f>IFERROR(IF(AND(R39="Probabilidad",R40="Probabilidad"),(AA39-(+AA39*U40)),IF(AND(R39="Impacto",R40="Probabilidad"),(AA38-(+AA38*U40)),IF(R40="Impacto",AA39,""))),"")</f>
        <v>5.0399999999999993E-2</v>
      </c>
      <c r="Z40" s="111" t="str">
        <f t="shared" si="36"/>
        <v>Rara vez</v>
      </c>
      <c r="AA40" s="109">
        <f t="shared" si="46"/>
        <v>5.0399999999999993E-2</v>
      </c>
      <c r="AB40" s="111" t="str">
        <f t="shared" si="38"/>
        <v>Mayor</v>
      </c>
      <c r="AC40" s="109">
        <f>IFERROR(IF(AND(R39="Impacto",R40="Impacto"),(AC39-(+AC39*U40)),IF(AND(R39="Probabilidad",R40="Impacto"),(AC38-(+AC38*U40)),IF(R40="Probabilidad",AC39,""))),"")</f>
        <v>0.8</v>
      </c>
      <c r="AD40" s="77" t="str">
        <f t="shared" si="39"/>
        <v>Alto</v>
      </c>
      <c r="AE40" s="78"/>
      <c r="AF40" s="105"/>
      <c r="AG40" s="112"/>
      <c r="AH40" s="113"/>
      <c r="AI40" s="113"/>
      <c r="AJ40" s="105"/>
      <c r="AK40" s="114"/>
      <c r="AL40" s="170"/>
      <c r="AM40" s="136"/>
      <c r="AN40" s="134"/>
      <c r="AO40" s="393"/>
      <c r="AP40" s="43"/>
      <c r="AQ40" s="43"/>
      <c r="AR40" s="43"/>
      <c r="AS40" s="43"/>
      <c r="AT40" s="43"/>
      <c r="AU40" s="43"/>
      <c r="AV40" s="43"/>
      <c r="AW40" s="43"/>
      <c r="AX40" s="43"/>
      <c r="AY40" s="43"/>
      <c r="AZ40" s="43"/>
      <c r="BA40" s="43"/>
      <c r="BB40" s="43"/>
      <c r="BC40" s="43"/>
      <c r="BD40" s="43"/>
      <c r="BE40" s="43"/>
      <c r="BF40" s="43"/>
      <c r="BG40" s="43"/>
      <c r="BH40" s="43"/>
      <c r="BI40" s="43"/>
      <c r="BJ40" s="43"/>
      <c r="BK40" s="43"/>
      <c r="BL40" s="43"/>
      <c r="BM40" s="43"/>
    </row>
    <row r="41" spans="2:65" ht="98.25" customHeight="1" x14ac:dyDescent="0.2">
      <c r="B41" s="141"/>
      <c r="C41" s="142"/>
      <c r="D41" s="136"/>
      <c r="E41" s="142"/>
      <c r="F41" s="142"/>
      <c r="G41" s="136"/>
      <c r="H41" s="142"/>
      <c r="I41" s="139"/>
      <c r="J41" s="138"/>
      <c r="K41" s="137"/>
      <c r="L41" s="138">
        <f>IF(NOT(ISERROR(MATCH(K41,_xlfn.ANCHORARRAY(G52),0))),J54&amp;"Por favor no seleccionar los criterios de impacto",K41)</f>
        <v>0</v>
      </c>
      <c r="M41" s="139"/>
      <c r="N41" s="138"/>
      <c r="O41" s="134"/>
      <c r="P41" s="106">
        <v>4</v>
      </c>
      <c r="Q41" s="115" t="s">
        <v>274</v>
      </c>
      <c r="R41" s="108" t="str">
        <f t="shared" ref="R41:R43" si="47">IF(OR(S41="Preventivo",S41="Detectivo"),"Probabilidad",IF(S41="Correctivo","Impacto",""))</f>
        <v>Probabilidad</v>
      </c>
      <c r="S41" s="78" t="s">
        <v>146</v>
      </c>
      <c r="T41" s="78" t="s">
        <v>152</v>
      </c>
      <c r="U41" s="109" t="str">
        <f t="shared" si="45"/>
        <v>30%</v>
      </c>
      <c r="V41" s="78" t="s">
        <v>155</v>
      </c>
      <c r="W41" s="78" t="s">
        <v>159</v>
      </c>
      <c r="X41" s="78" t="s">
        <v>165</v>
      </c>
      <c r="Y41" s="110">
        <f t="shared" ref="Y41:Y43" si="48">IFERROR(IF(AND(R40="Probabilidad",R41="Probabilidad"),(AA40-(+AA40*U41)),IF(AND(R40="Impacto",R41="Probabilidad"),(AA39-(+AA39*U41)),IF(R41="Impacto",AA40,""))),"")</f>
        <v>3.5279999999999992E-2</v>
      </c>
      <c r="Z41" s="111" t="str">
        <f t="shared" si="36"/>
        <v>Rara vez</v>
      </c>
      <c r="AA41" s="109">
        <f t="shared" si="46"/>
        <v>3.5279999999999992E-2</v>
      </c>
      <c r="AB41" s="111" t="str">
        <f t="shared" si="38"/>
        <v>Mayor</v>
      </c>
      <c r="AC41" s="109">
        <f t="shared" ref="AC41:AC43" si="49">IFERROR(IF(AND(R40="Impacto",R41="Impacto"),(AC40-(+AC40*U41)),IF(AND(R40="Probabilidad",R41="Impacto"),(AC39-(+AC39*U41)),IF(R41="Probabilidad",AC40,""))),"")</f>
        <v>0.8</v>
      </c>
      <c r="AD41" s="77" t="str">
        <f t="shared" si="39"/>
        <v>Alto</v>
      </c>
      <c r="AE41" s="78" t="s">
        <v>173</v>
      </c>
      <c r="AF41" s="105" t="s">
        <v>275</v>
      </c>
      <c r="AG41" s="112" t="s">
        <v>276</v>
      </c>
      <c r="AH41" s="113" t="s">
        <v>277</v>
      </c>
      <c r="AI41" s="113"/>
      <c r="AJ41" s="105"/>
      <c r="AK41" s="114" t="s">
        <v>176</v>
      </c>
      <c r="AL41" s="170"/>
      <c r="AM41" s="136"/>
      <c r="AN41" s="134"/>
      <c r="AO41" s="393"/>
      <c r="AP41" s="43"/>
      <c r="AQ41" s="43"/>
      <c r="AR41" s="43"/>
      <c r="AS41" s="43"/>
      <c r="AT41" s="43"/>
      <c r="AU41" s="43"/>
      <c r="AV41" s="43"/>
      <c r="AW41" s="43"/>
      <c r="AX41" s="43"/>
      <c r="AY41" s="43"/>
      <c r="AZ41" s="43"/>
      <c r="BA41" s="43"/>
      <c r="BB41" s="43"/>
      <c r="BC41" s="43"/>
      <c r="BD41" s="43"/>
      <c r="BE41" s="43"/>
      <c r="BF41" s="43"/>
      <c r="BG41" s="43"/>
      <c r="BH41" s="43"/>
      <c r="BI41" s="43"/>
      <c r="BJ41" s="43"/>
      <c r="BK41" s="43"/>
      <c r="BL41" s="43"/>
      <c r="BM41" s="43"/>
    </row>
    <row r="42" spans="2:65" x14ac:dyDescent="0.2">
      <c r="B42" s="141"/>
      <c r="C42" s="142"/>
      <c r="D42" s="136"/>
      <c r="E42" s="142"/>
      <c r="F42" s="142"/>
      <c r="G42" s="136"/>
      <c r="H42" s="142"/>
      <c r="I42" s="139"/>
      <c r="J42" s="138"/>
      <c r="K42" s="137"/>
      <c r="L42" s="138">
        <f>IF(NOT(ISERROR(MATCH(K42,_xlfn.ANCHORARRAY(G53),0))),J55&amp;"Por favor no seleccionar los criterios de impacto",K42)</f>
        <v>0</v>
      </c>
      <c r="M42" s="139"/>
      <c r="N42" s="138"/>
      <c r="O42" s="134"/>
      <c r="P42" s="106">
        <v>5</v>
      </c>
      <c r="Q42" s="115"/>
      <c r="R42" s="108" t="str">
        <f t="shared" si="47"/>
        <v/>
      </c>
      <c r="S42" s="78"/>
      <c r="T42" s="78"/>
      <c r="U42" s="109" t="str">
        <f t="shared" si="45"/>
        <v/>
      </c>
      <c r="V42" s="78"/>
      <c r="W42" s="78"/>
      <c r="X42" s="78"/>
      <c r="Y42" s="110" t="str">
        <f t="shared" si="48"/>
        <v/>
      </c>
      <c r="Z42" s="111" t="str">
        <f t="shared" si="36"/>
        <v/>
      </c>
      <c r="AA42" s="109" t="str">
        <f t="shared" si="46"/>
        <v/>
      </c>
      <c r="AB42" s="111" t="str">
        <f t="shared" si="38"/>
        <v/>
      </c>
      <c r="AC42" s="109" t="str">
        <f t="shared" si="49"/>
        <v/>
      </c>
      <c r="AD42" s="77" t="str">
        <f t="shared" si="39"/>
        <v/>
      </c>
      <c r="AE42" s="78"/>
      <c r="AF42" s="105"/>
      <c r="AG42" s="112"/>
      <c r="AH42" s="113"/>
      <c r="AI42" s="113"/>
      <c r="AJ42" s="105"/>
      <c r="AK42" s="114"/>
      <c r="AL42" s="170"/>
      <c r="AM42" s="136"/>
      <c r="AN42" s="134"/>
      <c r="AO42" s="39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row>
    <row r="43" spans="2:65" x14ac:dyDescent="0.2">
      <c r="B43" s="141"/>
      <c r="C43" s="142"/>
      <c r="D43" s="136"/>
      <c r="E43" s="142"/>
      <c r="F43" s="142"/>
      <c r="G43" s="136"/>
      <c r="H43" s="142"/>
      <c r="I43" s="139"/>
      <c r="J43" s="138"/>
      <c r="K43" s="137"/>
      <c r="L43" s="138">
        <f>IF(NOT(ISERROR(MATCH(K43,_xlfn.ANCHORARRAY(G54),0))),J56&amp;"Por favor no seleccionar los criterios de impacto",K43)</f>
        <v>0</v>
      </c>
      <c r="M43" s="139"/>
      <c r="N43" s="138"/>
      <c r="O43" s="134"/>
      <c r="P43" s="106">
        <v>6</v>
      </c>
      <c r="Q43" s="115"/>
      <c r="R43" s="108" t="str">
        <f t="shared" si="47"/>
        <v/>
      </c>
      <c r="S43" s="78"/>
      <c r="T43" s="78"/>
      <c r="U43" s="109" t="str">
        <f t="shared" si="45"/>
        <v/>
      </c>
      <c r="V43" s="78"/>
      <c r="W43" s="78"/>
      <c r="X43" s="78"/>
      <c r="Y43" s="110" t="str">
        <f t="shared" si="48"/>
        <v/>
      </c>
      <c r="Z43" s="111" t="str">
        <f t="shared" si="36"/>
        <v/>
      </c>
      <c r="AA43" s="109" t="str">
        <f t="shared" si="46"/>
        <v/>
      </c>
      <c r="AB43" s="111" t="str">
        <f t="shared" si="38"/>
        <v/>
      </c>
      <c r="AC43" s="109" t="str">
        <f t="shared" si="49"/>
        <v/>
      </c>
      <c r="AD43" s="77" t="str">
        <f t="shared" si="39"/>
        <v/>
      </c>
      <c r="AE43" s="78"/>
      <c r="AF43" s="105"/>
      <c r="AG43" s="112"/>
      <c r="AH43" s="113"/>
      <c r="AI43" s="113"/>
      <c r="AJ43" s="105"/>
      <c r="AK43" s="114"/>
      <c r="AL43" s="170"/>
      <c r="AM43" s="136"/>
      <c r="AN43" s="134"/>
      <c r="AO43" s="393"/>
      <c r="AP43" s="43"/>
      <c r="AQ43" s="43"/>
      <c r="AR43" s="43"/>
      <c r="AS43" s="43"/>
      <c r="AT43" s="43"/>
      <c r="AU43" s="43"/>
      <c r="AV43" s="43"/>
      <c r="AW43" s="43"/>
      <c r="AX43" s="43"/>
      <c r="AY43" s="43"/>
      <c r="AZ43" s="43"/>
      <c r="BA43" s="43"/>
      <c r="BB43" s="43"/>
      <c r="BC43" s="43"/>
      <c r="BD43" s="43"/>
      <c r="BE43" s="43"/>
      <c r="BF43" s="43"/>
      <c r="BG43" s="43"/>
      <c r="BH43" s="43"/>
      <c r="BI43" s="43"/>
      <c r="BJ43" s="43"/>
      <c r="BK43" s="43"/>
      <c r="BL43" s="43"/>
      <c r="BM43" s="43"/>
    </row>
    <row r="44" spans="2:65" ht="53.25" customHeight="1" x14ac:dyDescent="0.2">
      <c r="B44" s="141" t="s">
        <v>278</v>
      </c>
      <c r="C44" s="172" t="s">
        <v>190</v>
      </c>
      <c r="D44" s="142" t="s">
        <v>279</v>
      </c>
      <c r="E44" s="142" t="s">
        <v>218</v>
      </c>
      <c r="F44" s="142" t="s">
        <v>280</v>
      </c>
      <c r="G44" s="136" t="s">
        <v>281</v>
      </c>
      <c r="H44" s="175" t="s">
        <v>61</v>
      </c>
      <c r="I44" s="139" t="str">
        <f>IF(H44&lt;=0,"",IF(H44="No se ha presentado en los últimos 5 años","Rara vez",IF(H44="Al menos 1 vez en los últimos 5 años","Improbable",IF(H44="Al menos 1 vez en los últimos 2 años","Posible",IF(H44="Al menos 1 vez en el último año","Probable",IF(H44="Más de 1 vez al año","Casi Seguro"))))))</f>
        <v>Rara vez</v>
      </c>
      <c r="J44" s="138">
        <f>IF(I44="","",IF(I44="Rara vez",0.2,IF(I44="Improbable",0.4,IF(I44="Posible",0.6,IF(I44="Probable",0.8,IF(I44="Casi Seguro",1,))))))</f>
        <v>0.2</v>
      </c>
      <c r="K44" s="137" t="s">
        <v>76</v>
      </c>
      <c r="L44" s="138" t="str">
        <f>IF(NOT(ISERROR(MATCH(K44,'[6]Tabla Impacto'!$B$220:$B$222,0))),'[6]Tabla Impacto'!$F$222&amp;"Por favor no seleccionar los criterios de impacto(Criterios para calificar el impacto)",K44)</f>
        <v>Responder afirmativamente de SEIS a ONCE</v>
      </c>
      <c r="M44" s="139" t="str">
        <f>IF(OR(L44='[6]Tabla Impacto'!$C$5),"Moderado",IF(OR(L44='[6]Tabla Impacto'!$C$6),"Mayor",IF(OR(L44='[6]Tabla Impacto'!$C$7),"Catastrófico","")))</f>
        <v>Mayor</v>
      </c>
      <c r="N44" s="138">
        <f>IF(M44="","",IF(M44="Leve",0.2,IF(M44="Menor",0.4,IF(M44="Moderado",0.6,IF(M44="Mayor",0.8,IF(M44="Catastrófico",1,))))))</f>
        <v>0.8</v>
      </c>
      <c r="O44" s="134" t="str">
        <f>IF(OR(AND(I44="Rara vez",M44="Leve"),AND(I44="Rara vez",M44="Menor"),AND(I44="Improbable",M44="Leve")),"Bajo",IF(OR(AND(I44="Rara vez",M44="Moderado"),AND(I44="Improbable",M44="Menor"),AND(I44="Improbable",M44="Moderado"),AND(I44="Posible",M44="Leve"),AND(I44="Posible",M44="Menor"),AND(I44="Posible",M44="Moderado"),AND(I44="Probable",M44="Leve"),AND(I44="Probable",M44="Menor")),"Moderado",IF(OR(AND(I44="Rara vez",M44="Mayor"),AND(I44="Improbable",M44="Mayor"),AND(I44="Posible",M44="Mayor"),AND(I44="Probable",M44="Moderado"),AND(I44="Probable",M44="Mayor"),AND(I44="Casi Seguro",M44="Leve"),AND(I44="Casi Seguro",M44="Menor"),AND(I44="Casi Seguro",M44="Moderado"),AND(I44="Casi Seguro",M44="Mayor")),"Alto",IF(OR(AND(I44="Rara vez",M44="Catastrófico"),AND(I44="Improbable",M44="Catastrófico"),AND(I44="Posible",M44="Catastrófico"),AND(I44="Probable",M44="Catastrófico"),AND(I44="Casi Seguro",M44="Catastrófico")),"Extremo",""))))</f>
        <v>Alto</v>
      </c>
      <c r="P44" s="106">
        <v>1</v>
      </c>
      <c r="Q44" s="115" t="s">
        <v>282</v>
      </c>
      <c r="R44" s="108" t="str">
        <f>IF(OR(S44="Preventivo",S44="Detectivo"),"Probabilidad",IF(S44="Correctivo","Impacto",""))</f>
        <v>Probabilidad</v>
      </c>
      <c r="S44" s="78" t="s">
        <v>144</v>
      </c>
      <c r="T44" s="78" t="s">
        <v>150</v>
      </c>
      <c r="U44" s="109" t="str">
        <f>IF(AND(S44="Preventivo",T44="Automático"),"50%",IF(AND(S44="Preventivo",T44="Manual"),"40%",IF(AND(S44="Detectivo",T44="Automático"),"40%",IF(AND(S44="Detectivo",T44="Manual"),"30%",IF(AND(S44="Correctivo",T44="Automático"),"35%",IF(AND(S44="Correctivo",T44="Manual"),"25%",""))))))</f>
        <v>50%</v>
      </c>
      <c r="V44" s="78" t="s">
        <v>155</v>
      </c>
      <c r="W44" s="78" t="s">
        <v>159</v>
      </c>
      <c r="X44" s="78" t="s">
        <v>165</v>
      </c>
      <c r="Y44" s="110">
        <f>IFERROR(IF(R44="Probabilidad",(J44-(+J44*U44)),IF(R44="Impacto",J44,"")),"")</f>
        <v>0.1</v>
      </c>
      <c r="Z44" s="111" t="str">
        <f>IFERROR(IF(Y44="","",IF(Y44&lt;=0.2,"Rara vez",IF(Y44&lt;=0.4,"Improbable",IF(Y44&lt;=0.6,"Posible",IF(Y44&lt;=0.8,"Probable","Casi Seguro"))))),"")</f>
        <v>Rara vez</v>
      </c>
      <c r="AA44" s="109">
        <f>+Y44</f>
        <v>0.1</v>
      </c>
      <c r="AB44" s="111" t="str">
        <f>IFERROR(IF(AC44="","",IF(AC44&lt;=0.6,"Moderado",IF(AC44&lt;=0.8,"Mayor","Catastrófico"))),"")</f>
        <v>Mayor</v>
      </c>
      <c r="AC44" s="109">
        <f>IFERROR(IF(R44="Impacto",(N44-(+N44*U44)),IF(R44="Probabilidad",N44,"")),"")</f>
        <v>0.8</v>
      </c>
      <c r="AD44" s="77" t="str">
        <f>IFERROR(IF(OR(AND(Z44="Rara vez",AB44="Leve"),AND(Z44="Rara vez",AB44="Menor"),AND(Z44="Improbable",AB44="Leve")),"Bajo",IF(OR(AND(Z44="Rara vez",AB44="Moderado"),AND(Z44="Improbable",AB44="Menor"),AND(Z44="Improbable",AB44="Moderado"),AND(Z44="Posible",AB44="Leve"),AND(Z44="Posible",AB44="Menor"),AND(Z44="Posible",AB44="Moderado"),AND(Z44="Probable",AB44="Leve"),AND(Z44="Probable",AB44="Menor")),"Moderado",IF(OR(AND(Z44="Rara vez",AB44="Mayor"),AND(Z44="Improbable",AB44="Mayor"),AND(Z44="Posible",AB44="Mayor"),AND(Z44="Probable",AB44="Moderado"),AND(Z44="Probable",AB44="Mayor"),AND(Z44="Casi Seguro",AB44="Leve"),AND(Z44="Casi Seguro",AB44="Menor"),AND(Z44="Casi Seguro",AB44="Moderado"),AND(Z44="Casi Seguro",AB44="Mayor")),"Alto",IF(OR(AND(Z44="Rara vez",AB44="Catastrófico"),AND(Z44="Improbable",AB44="Catastrófico"),AND(Z44="Posible",AB44="Catastrófico"),AND(Z44="Probable",AB44="Catastrófico"),AND(Z44="Casi Seguro",AB44="Catastrófico")),"Extremo","")))),"")</f>
        <v>Alto</v>
      </c>
      <c r="AE44" s="78"/>
      <c r="AF44" s="105"/>
      <c r="AG44" s="112"/>
      <c r="AH44" s="113"/>
      <c r="AI44" s="113"/>
      <c r="AJ44" s="105"/>
      <c r="AK44" s="114"/>
      <c r="AL44" s="135">
        <v>45432</v>
      </c>
      <c r="AM44" s="135" t="s">
        <v>222</v>
      </c>
      <c r="AN44" s="134" t="str">
        <f>+O44</f>
        <v>Alto</v>
      </c>
      <c r="AO44" s="393" t="str">
        <f>+AD44</f>
        <v>Alto</v>
      </c>
      <c r="AP44" s="43"/>
      <c r="AQ44" s="43"/>
      <c r="AR44" s="43"/>
      <c r="AS44" s="43"/>
      <c r="AT44" s="43"/>
      <c r="AU44" s="43"/>
      <c r="AV44" s="43"/>
      <c r="AW44" s="43"/>
      <c r="AX44" s="43"/>
      <c r="AY44" s="43"/>
      <c r="AZ44" s="43"/>
      <c r="BA44" s="43"/>
      <c r="BB44" s="43"/>
      <c r="BC44" s="43"/>
      <c r="BD44" s="43"/>
      <c r="BE44" s="43"/>
      <c r="BF44" s="43"/>
      <c r="BG44" s="43"/>
      <c r="BH44" s="43"/>
      <c r="BI44" s="43"/>
      <c r="BJ44" s="43"/>
      <c r="BK44" s="43"/>
      <c r="BL44" s="43"/>
      <c r="BM44" s="43"/>
    </row>
    <row r="45" spans="2:65" ht="53.25" customHeight="1" x14ac:dyDescent="0.2">
      <c r="B45" s="141"/>
      <c r="C45" s="172"/>
      <c r="D45" s="142"/>
      <c r="E45" s="142"/>
      <c r="F45" s="142"/>
      <c r="G45" s="136"/>
      <c r="H45" s="175"/>
      <c r="I45" s="139"/>
      <c r="J45" s="138"/>
      <c r="K45" s="137"/>
      <c r="L45" s="138">
        <f>IF(NOT(ISERROR(MATCH(K45,_xlfn.ANCHORARRAY(G56),0))),J58&amp;"Por favor no seleccionar los criterios de impacto",K45)</f>
        <v>0</v>
      </c>
      <c r="M45" s="139"/>
      <c r="N45" s="138"/>
      <c r="O45" s="134"/>
      <c r="P45" s="106">
        <v>2</v>
      </c>
      <c r="Q45" s="115" t="s">
        <v>283</v>
      </c>
      <c r="R45" s="108" t="str">
        <f>IF(OR(S45="Preventivo",S45="Detectivo"),"Probabilidad",IF(S45="Correctivo","Impacto",""))</f>
        <v>Probabilidad</v>
      </c>
      <c r="S45" s="78" t="s">
        <v>146</v>
      </c>
      <c r="T45" s="78" t="s">
        <v>150</v>
      </c>
      <c r="U45" s="109" t="str">
        <f t="shared" ref="U45:U49" si="50">IF(AND(S45="Preventivo",T45="Automático"),"50%",IF(AND(S45="Preventivo",T45="Manual"),"40%",IF(AND(S45="Detectivo",T45="Automático"),"40%",IF(AND(S45="Detectivo",T45="Manual"),"30%",IF(AND(S45="Correctivo",T45="Automático"),"35%",IF(AND(S45="Correctivo",T45="Manual"),"25%",""))))))</f>
        <v>40%</v>
      </c>
      <c r="V45" s="78" t="s">
        <v>155</v>
      </c>
      <c r="W45" s="78" t="s">
        <v>159</v>
      </c>
      <c r="X45" s="78" t="s">
        <v>165</v>
      </c>
      <c r="Y45" s="110">
        <f>IFERROR(IF(AND(R44="Probabilidad",R45="Probabilidad"),(AA44-(+AA44*U45)),IF(R45="Probabilidad",(J44-(+J44*U45)),IF(R45="Impacto",AA44,""))),"")</f>
        <v>0.06</v>
      </c>
      <c r="Z45" s="111" t="str">
        <f t="shared" ref="Z45:Z55" si="51">IFERROR(IF(Y45="","",IF(Y45&lt;=0.2,"Rara vez",IF(Y45&lt;=0.4,"Improbable",IF(Y45&lt;=0.6,"Posible",IF(Y45&lt;=0.8,"Probable","Casi Seguro"))))),"")</f>
        <v>Rara vez</v>
      </c>
      <c r="AA45" s="109">
        <f t="shared" ref="AA45:AA49" si="52">+Y45</f>
        <v>0.06</v>
      </c>
      <c r="AB45" s="111" t="str">
        <f t="shared" ref="AB45:AB55" si="53">IFERROR(IF(AC45="","",IF(AC45&lt;=0.6,"Moderado",IF(AC45&lt;=0.8,"Mayor","Catastrófico"))),"")</f>
        <v>Mayor</v>
      </c>
      <c r="AC45" s="109">
        <f>IFERROR(IF(AND(R44="Impacto",R45="Impacto"),(AC44-(+AC44*U45)),IF(R45="Impacto",(N44-(+N44*U45)),IF(R45="Probabilidad",AC44,""))),"")</f>
        <v>0.8</v>
      </c>
      <c r="AD45" s="77" t="str">
        <f t="shared" ref="AD45:AD55" si="54">IFERROR(IF(OR(AND(Z45="Rara vez",AB45="Leve"),AND(Z45="Rara vez",AB45="Menor"),AND(Z45="Improbable",AB45="Leve")),"Bajo",IF(OR(AND(Z45="Rara vez",AB45="Moderado"),AND(Z45="Improbable",AB45="Menor"),AND(Z45="Improbable",AB45="Moderado"),AND(Z45="Posible",AB45="Leve"),AND(Z45="Posible",AB45="Menor"),AND(Z45="Posible",AB45="Moderado"),AND(Z45="Probable",AB45="Leve"),AND(Z45="Probable",AB45="Menor")),"Moderado",IF(OR(AND(Z45="Rara vez",AB45="Mayor"),AND(Z45="Improbable",AB45="Mayor"),AND(Z45="Posible",AB45="Mayor"),AND(Z45="Probable",AB45="Moderado"),AND(Z45="Probable",AB45="Mayor"),AND(Z45="Casi Seguro",AB45="Leve"),AND(Z45="Casi Seguro",AB45="Menor"),AND(Z45="Casi Seguro",AB45="Moderado"),AND(Z45="Casi Seguro",AB45="Mayor")),"Alto",IF(OR(AND(Z45="Rara vez",AB45="Catastrófico"),AND(Z45="Improbable",AB45="Catastrófico"),AND(Z45="Posible",AB45="Catastrófico"),AND(Z45="Probable",AB45="Catastrófico"),AND(Z45="Casi Seguro",AB45="Catastrófico")),"Extremo","")))),"")</f>
        <v>Alto</v>
      </c>
      <c r="AE45" s="78"/>
      <c r="AF45" s="105"/>
      <c r="AG45" s="112"/>
      <c r="AH45" s="113"/>
      <c r="AI45" s="113"/>
      <c r="AJ45" s="105"/>
      <c r="AK45" s="114"/>
      <c r="AL45" s="136"/>
      <c r="AM45" s="136"/>
      <c r="AN45" s="134"/>
      <c r="AO45" s="393"/>
      <c r="AP45" s="43"/>
      <c r="AQ45" s="43"/>
      <c r="AR45" s="43"/>
      <c r="AS45" s="43"/>
      <c r="AT45" s="43"/>
      <c r="AU45" s="43"/>
      <c r="AV45" s="43"/>
      <c r="AW45" s="43"/>
      <c r="AX45" s="43"/>
      <c r="AY45" s="43"/>
      <c r="AZ45" s="43"/>
      <c r="BA45" s="43"/>
      <c r="BB45" s="43"/>
      <c r="BC45" s="43"/>
      <c r="BD45" s="43"/>
      <c r="BE45" s="43"/>
      <c r="BF45" s="43"/>
      <c r="BG45" s="43"/>
      <c r="BH45" s="43"/>
      <c r="BI45" s="43"/>
      <c r="BJ45" s="43"/>
      <c r="BK45" s="43"/>
      <c r="BL45" s="43"/>
      <c r="BM45" s="43"/>
    </row>
    <row r="46" spans="2:65" ht="53.25" customHeight="1" x14ac:dyDescent="0.2">
      <c r="B46" s="141"/>
      <c r="C46" s="172"/>
      <c r="D46" s="142"/>
      <c r="E46" s="142"/>
      <c r="F46" s="142"/>
      <c r="G46" s="136"/>
      <c r="H46" s="175"/>
      <c r="I46" s="139"/>
      <c r="J46" s="138"/>
      <c r="K46" s="137"/>
      <c r="L46" s="138">
        <f>IF(NOT(ISERROR(MATCH(K46,_xlfn.ANCHORARRAY(G57),0))),J59&amp;"Por favor no seleccionar los criterios de impacto",K46)</f>
        <v>0</v>
      </c>
      <c r="M46" s="139"/>
      <c r="N46" s="138"/>
      <c r="O46" s="134"/>
      <c r="P46" s="106">
        <v>3</v>
      </c>
      <c r="Q46" s="115" t="s">
        <v>284</v>
      </c>
      <c r="R46" s="108" t="str">
        <f>IF(OR(S46="Preventivo",S46="Detectivo"),"Probabilidad",IF(S46="Correctivo","Impacto",""))</f>
        <v>Probabilidad</v>
      </c>
      <c r="S46" s="78" t="s">
        <v>144</v>
      </c>
      <c r="T46" s="78" t="s">
        <v>150</v>
      </c>
      <c r="U46" s="109" t="str">
        <f t="shared" si="50"/>
        <v>50%</v>
      </c>
      <c r="V46" s="78" t="s">
        <v>157</v>
      </c>
      <c r="W46" s="78" t="s">
        <v>159</v>
      </c>
      <c r="X46" s="78" t="s">
        <v>165</v>
      </c>
      <c r="Y46" s="110">
        <f>IFERROR(IF(AND(R45="Probabilidad",R46="Probabilidad"),(AA45-(+AA45*U46)),IF(AND(R45="Impacto",R46="Probabilidad"),(AA44-(+AA44*U46)),IF(R46="Impacto",AA45,""))),"")</f>
        <v>0.03</v>
      </c>
      <c r="Z46" s="111" t="str">
        <f t="shared" si="51"/>
        <v>Rara vez</v>
      </c>
      <c r="AA46" s="109">
        <f t="shared" si="52"/>
        <v>0.03</v>
      </c>
      <c r="AB46" s="111" t="str">
        <f t="shared" si="53"/>
        <v>Mayor</v>
      </c>
      <c r="AC46" s="109">
        <f>IFERROR(IF(AND(R45="Impacto",R46="Impacto"),(AC45-(+AC45*U46)),IF(AND(R45="Probabilidad",R46="Impacto"),(AC44-(+AC44*U46)),IF(R46="Probabilidad",AC45,""))),"")</f>
        <v>0.8</v>
      </c>
      <c r="AD46" s="77" t="str">
        <f t="shared" si="54"/>
        <v>Alto</v>
      </c>
      <c r="AE46" s="78"/>
      <c r="AF46" s="105"/>
      <c r="AG46" s="112"/>
      <c r="AH46" s="113"/>
      <c r="AI46" s="113"/>
      <c r="AJ46" s="105"/>
      <c r="AK46" s="114"/>
      <c r="AL46" s="136"/>
      <c r="AM46" s="136"/>
      <c r="AN46" s="134"/>
      <c r="AO46" s="393"/>
      <c r="AP46" s="43"/>
      <c r="AQ46" s="43"/>
      <c r="AR46" s="43"/>
      <c r="AS46" s="43"/>
      <c r="AT46" s="43"/>
      <c r="AU46" s="43"/>
      <c r="AV46" s="43"/>
      <c r="AW46" s="43"/>
      <c r="AX46" s="43"/>
      <c r="AY46" s="43"/>
      <c r="AZ46" s="43"/>
      <c r="BA46" s="43"/>
      <c r="BB46" s="43"/>
      <c r="BC46" s="43"/>
      <c r="BD46" s="43"/>
      <c r="BE46" s="43"/>
      <c r="BF46" s="43"/>
      <c r="BG46" s="43"/>
      <c r="BH46" s="43"/>
      <c r="BI46" s="43"/>
      <c r="BJ46" s="43"/>
      <c r="BK46" s="43"/>
      <c r="BL46" s="43"/>
      <c r="BM46" s="43"/>
    </row>
    <row r="47" spans="2:65" ht="99.75" customHeight="1" x14ac:dyDescent="0.2">
      <c r="B47" s="141"/>
      <c r="C47" s="172"/>
      <c r="D47" s="142"/>
      <c r="E47" s="142"/>
      <c r="F47" s="142"/>
      <c r="G47" s="136"/>
      <c r="H47" s="175"/>
      <c r="I47" s="139"/>
      <c r="J47" s="138"/>
      <c r="K47" s="137"/>
      <c r="L47" s="138">
        <f>IF(NOT(ISERROR(MATCH(K47,_xlfn.ANCHORARRAY(G58),0))),J60&amp;"Por favor no seleccionar los criterios de impacto",K47)</f>
        <v>0</v>
      </c>
      <c r="M47" s="139"/>
      <c r="N47" s="138"/>
      <c r="O47" s="134"/>
      <c r="P47" s="106">
        <v>4</v>
      </c>
      <c r="Q47" s="115" t="s">
        <v>285</v>
      </c>
      <c r="R47" s="108" t="str">
        <f t="shared" ref="R47:R49" si="55">IF(OR(S47="Preventivo",S47="Detectivo"),"Probabilidad",IF(S47="Correctivo","Impacto",""))</f>
        <v>Probabilidad</v>
      </c>
      <c r="S47" s="78" t="s">
        <v>144</v>
      </c>
      <c r="T47" s="78" t="s">
        <v>150</v>
      </c>
      <c r="U47" s="109" t="str">
        <f t="shared" si="50"/>
        <v>50%</v>
      </c>
      <c r="V47" s="78" t="s">
        <v>157</v>
      </c>
      <c r="W47" s="78" t="s">
        <v>159</v>
      </c>
      <c r="X47" s="78" t="s">
        <v>165</v>
      </c>
      <c r="Y47" s="110">
        <f t="shared" ref="Y47:Y49" si="56">IFERROR(IF(AND(R46="Probabilidad",R47="Probabilidad"),(AA46-(+AA46*U47)),IF(AND(R46="Impacto",R47="Probabilidad"),(AA45-(+AA45*U47)),IF(R47="Impacto",AA46,""))),"")</f>
        <v>1.4999999999999999E-2</v>
      </c>
      <c r="Z47" s="111" t="str">
        <f t="shared" si="51"/>
        <v>Rara vez</v>
      </c>
      <c r="AA47" s="109">
        <f t="shared" si="52"/>
        <v>1.4999999999999999E-2</v>
      </c>
      <c r="AB47" s="111" t="str">
        <f t="shared" si="53"/>
        <v>Mayor</v>
      </c>
      <c r="AC47" s="109">
        <f t="shared" ref="AC47:AC49" si="57">IFERROR(IF(AND(R46="Impacto",R47="Impacto"),(AC46-(+AC46*U47)),IF(AND(R46="Probabilidad",R47="Impacto"),(AC45-(+AC45*U47)),IF(R47="Probabilidad",AC46,""))),"")</f>
        <v>0.8</v>
      </c>
      <c r="AD47" s="77" t="str">
        <f t="shared" si="54"/>
        <v>Alto</v>
      </c>
      <c r="AE47" s="78" t="s">
        <v>173</v>
      </c>
      <c r="AF47" s="105" t="s">
        <v>286</v>
      </c>
      <c r="AG47" s="112"/>
      <c r="AH47" s="113">
        <v>45657</v>
      </c>
      <c r="AI47" s="113"/>
      <c r="AJ47" s="105"/>
      <c r="AK47" s="114" t="s">
        <v>176</v>
      </c>
      <c r="AL47" s="136"/>
      <c r="AM47" s="136"/>
      <c r="AN47" s="134"/>
      <c r="AO47" s="393"/>
      <c r="AP47" s="43"/>
      <c r="AQ47" s="43"/>
      <c r="AR47" s="43"/>
      <c r="AS47" s="43"/>
      <c r="AT47" s="43"/>
      <c r="AU47" s="43"/>
      <c r="AV47" s="43"/>
      <c r="AW47" s="43"/>
      <c r="AX47" s="43"/>
      <c r="AY47" s="43"/>
      <c r="AZ47" s="43"/>
      <c r="BA47" s="43"/>
      <c r="BB47" s="43"/>
      <c r="BC47" s="43"/>
      <c r="BD47" s="43"/>
      <c r="BE47" s="43"/>
      <c r="BF47" s="43"/>
      <c r="BG47" s="43"/>
      <c r="BH47" s="43"/>
      <c r="BI47" s="43"/>
      <c r="BJ47" s="43"/>
      <c r="BK47" s="43"/>
      <c r="BL47" s="43"/>
      <c r="BM47" s="43"/>
    </row>
    <row r="48" spans="2:65" x14ac:dyDescent="0.2">
      <c r="B48" s="141"/>
      <c r="C48" s="172"/>
      <c r="D48" s="142"/>
      <c r="E48" s="142"/>
      <c r="F48" s="142"/>
      <c r="G48" s="136"/>
      <c r="H48" s="175"/>
      <c r="I48" s="139"/>
      <c r="J48" s="138"/>
      <c r="K48" s="137"/>
      <c r="L48" s="138">
        <f>IF(NOT(ISERROR(MATCH(K48,_xlfn.ANCHORARRAY(G59),0))),J61&amp;"Por favor no seleccionar los criterios de impacto",K48)</f>
        <v>0</v>
      </c>
      <c r="M48" s="139"/>
      <c r="N48" s="138"/>
      <c r="O48" s="134"/>
      <c r="P48" s="106">
        <v>5</v>
      </c>
      <c r="Q48" s="115"/>
      <c r="R48" s="108" t="str">
        <f t="shared" si="55"/>
        <v/>
      </c>
      <c r="S48" s="78"/>
      <c r="T48" s="78"/>
      <c r="U48" s="109" t="str">
        <f t="shared" si="50"/>
        <v/>
      </c>
      <c r="V48" s="78"/>
      <c r="W48" s="78"/>
      <c r="X48" s="78"/>
      <c r="Y48" s="110" t="str">
        <f t="shared" si="56"/>
        <v/>
      </c>
      <c r="Z48" s="111" t="str">
        <f t="shared" si="51"/>
        <v/>
      </c>
      <c r="AA48" s="109" t="str">
        <f t="shared" si="52"/>
        <v/>
      </c>
      <c r="AB48" s="111" t="str">
        <f t="shared" si="53"/>
        <v/>
      </c>
      <c r="AC48" s="109" t="str">
        <f t="shared" si="57"/>
        <v/>
      </c>
      <c r="AD48" s="77" t="str">
        <f t="shared" si="54"/>
        <v/>
      </c>
      <c r="AE48" s="78"/>
      <c r="AF48" s="105"/>
      <c r="AG48" s="112"/>
      <c r="AH48" s="113"/>
      <c r="AI48" s="113"/>
      <c r="AJ48" s="105"/>
      <c r="AK48" s="114"/>
      <c r="AL48" s="136"/>
      <c r="AM48" s="136"/>
      <c r="AN48" s="134"/>
      <c r="AO48" s="393"/>
      <c r="AP48" s="43"/>
      <c r="AQ48" s="43"/>
      <c r="AR48" s="43"/>
      <c r="AS48" s="43"/>
      <c r="AT48" s="43"/>
      <c r="AU48" s="43"/>
      <c r="AV48" s="43"/>
      <c r="AW48" s="43"/>
      <c r="AX48" s="43"/>
      <c r="AY48" s="43"/>
      <c r="AZ48" s="43"/>
      <c r="BA48" s="43"/>
      <c r="BB48" s="43"/>
      <c r="BC48" s="43"/>
      <c r="BD48" s="43"/>
      <c r="BE48" s="43"/>
      <c r="BF48" s="43"/>
      <c r="BG48" s="43"/>
      <c r="BH48" s="43"/>
      <c r="BI48" s="43"/>
      <c r="BJ48" s="43"/>
      <c r="BK48" s="43"/>
      <c r="BL48" s="43"/>
      <c r="BM48" s="43"/>
    </row>
    <row r="49" spans="2:65" x14ac:dyDescent="0.2">
      <c r="B49" s="141"/>
      <c r="C49" s="172"/>
      <c r="D49" s="142"/>
      <c r="E49" s="142"/>
      <c r="F49" s="142"/>
      <c r="G49" s="136"/>
      <c r="H49" s="175"/>
      <c r="I49" s="139"/>
      <c r="J49" s="138"/>
      <c r="K49" s="137"/>
      <c r="L49" s="138">
        <f>IF(NOT(ISERROR(MATCH(K49,_xlfn.ANCHORARRAY(G60),0))),#REF!&amp;"Por favor no seleccionar los criterios de impacto",K49)</f>
        <v>0</v>
      </c>
      <c r="M49" s="139"/>
      <c r="N49" s="138"/>
      <c r="O49" s="134"/>
      <c r="P49" s="106">
        <v>6</v>
      </c>
      <c r="Q49" s="115"/>
      <c r="R49" s="108" t="str">
        <f t="shared" si="55"/>
        <v/>
      </c>
      <c r="S49" s="78"/>
      <c r="T49" s="78"/>
      <c r="U49" s="109" t="str">
        <f t="shared" si="50"/>
        <v/>
      </c>
      <c r="V49" s="78"/>
      <c r="W49" s="78"/>
      <c r="X49" s="78"/>
      <c r="Y49" s="110" t="str">
        <f t="shared" si="56"/>
        <v/>
      </c>
      <c r="Z49" s="111" t="str">
        <f t="shared" si="51"/>
        <v/>
      </c>
      <c r="AA49" s="109" t="str">
        <f t="shared" si="52"/>
        <v/>
      </c>
      <c r="AB49" s="111" t="str">
        <f t="shared" si="53"/>
        <v/>
      </c>
      <c r="AC49" s="109" t="str">
        <f t="shared" si="57"/>
        <v/>
      </c>
      <c r="AD49" s="77" t="str">
        <f t="shared" si="54"/>
        <v/>
      </c>
      <c r="AE49" s="78"/>
      <c r="AF49" s="105"/>
      <c r="AG49" s="112"/>
      <c r="AH49" s="113"/>
      <c r="AI49" s="113"/>
      <c r="AJ49" s="105"/>
      <c r="AK49" s="114"/>
      <c r="AL49" s="136"/>
      <c r="AM49" s="136"/>
      <c r="AN49" s="134"/>
      <c r="AO49" s="39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row>
    <row r="50" spans="2:65" ht="53.25" customHeight="1" x14ac:dyDescent="0.2">
      <c r="B50" s="141" t="s">
        <v>287</v>
      </c>
      <c r="C50" s="172" t="s">
        <v>190</v>
      </c>
      <c r="D50" s="145" t="s">
        <v>288</v>
      </c>
      <c r="E50" s="142" t="s">
        <v>218</v>
      </c>
      <c r="F50" s="142" t="s">
        <v>289</v>
      </c>
      <c r="G50" s="136" t="s">
        <v>290</v>
      </c>
      <c r="H50" s="175" t="s">
        <v>61</v>
      </c>
      <c r="I50" s="139" t="str">
        <f t="shared" ref="I50" si="58">IF(H50&lt;=0,"",IF(H50="No se ha presentado en los últimos 5 años","Rara vez",IF(H50="Al menos 1 vez en los últimos 5 años","Improbable",IF(H50="Al menos 1 vez en los últimos 2 años","Posible",IF(H50="Al menos 1 vez en el último año","Probable",IF(H50="Más de 1 vez al año","Casi Seguro"))))))</f>
        <v>Rara vez</v>
      </c>
      <c r="J50" s="138">
        <f t="shared" ref="J50" si="59">IF(I50="","",IF(I50="Rara vez",0.2,IF(I50="Improbable",0.4,IF(I50="Posible",0.6,IF(I50="Probable",0.8,IF(I50="Casi Seguro",1,))))))</f>
        <v>0.2</v>
      </c>
      <c r="K50" s="137" t="s">
        <v>73</v>
      </c>
      <c r="L50" s="138" t="str">
        <f>IF(NOT(ISERROR(MATCH(K50,'[6]Tabla Impacto'!$B$220:$B$222,0))),'[6]Tabla Impacto'!$F$222&amp;"Por favor no seleccionar los criterios de impacto(Criterios para calificar el impacto)",K50)</f>
        <v xml:space="preserve">Responder afirmativamente de UNA a CINCO preguntas </v>
      </c>
      <c r="M50" s="139" t="str">
        <f>IF(OR(L50='[6]Tabla Impacto'!$C$5),"Moderado",IF(OR(L50='[6]Tabla Impacto'!$C$6),"Mayor",IF(OR(L50='[6]Tabla Impacto'!$C$7),"Catastrófico","")))</f>
        <v>Moderado</v>
      </c>
      <c r="N50" s="138">
        <f t="shared" ref="N50" si="60">IF(M50="","",IF(M50="Leve",0.2,IF(M50="Menor",0.4,IF(M50="Moderado",0.6,IF(M50="Mayor",0.8,IF(M50="Catastrófico",1,))))))</f>
        <v>0.6</v>
      </c>
      <c r="O50" s="134" t="str">
        <f t="shared" ref="O50" si="61">IF(OR(AND(I50="Rara vez",M50="Leve"),AND(I50="Rara vez",M50="Menor"),AND(I50="Improbable",M50="Leve")),"Bajo",IF(OR(AND(I50="Rara vez",M50="Moderado"),AND(I50="Improbable",M50="Menor"),AND(I50="Improbable",M50="Moderado"),AND(I50="Posible",M50="Leve"),AND(I50="Posible",M50="Menor"),AND(I50="Posible",M50="Moderado"),AND(I50="Probable",M50="Leve"),AND(I50="Probable",M50="Menor")),"Moderado",IF(OR(AND(I50="Rara vez",M50="Mayor"),AND(I50="Improbable",M50="Mayor"),AND(I50="Posible",M50="Mayor"),AND(I50="Probable",M50="Moderado"),AND(I50="Probable",M50="Mayor"),AND(I50="Casi Seguro",M50="Leve"),AND(I50="Casi Seguro",M50="Menor"),AND(I50="Casi Seguro",M50="Moderado"),AND(I50="Casi Seguro",M50="Mayor")),"Alto",IF(OR(AND(I50="Rara vez",M50="Catastrófico"),AND(I50="Improbable",M50="Catastrófico"),AND(I50="Posible",M50="Catastrófico"),AND(I50="Probable",M50="Catastrófico"),AND(I50="Casi Seguro",M50="Catastrófico")),"Extremo",""))))</f>
        <v>Moderado</v>
      </c>
      <c r="P50" s="106">
        <v>1</v>
      </c>
      <c r="Q50" s="115" t="s">
        <v>291</v>
      </c>
      <c r="R50" s="108" t="str">
        <f>IF(OR(S50="Preventivo",S50="Detectivo"),"Probabilidad",IF(S50="Correctivo","Impacto",""))</f>
        <v>Probabilidad</v>
      </c>
      <c r="S50" s="78" t="s">
        <v>144</v>
      </c>
      <c r="T50" s="78" t="s">
        <v>150</v>
      </c>
      <c r="U50" s="109" t="str">
        <f>IF(AND(S50="Preventivo",T50="Automático"),"50%",IF(AND(S50="Preventivo",T50="Manual"),"40%",IF(AND(S50="Detectivo",T50="Automático"),"40%",IF(AND(S50="Detectivo",T50="Manual"),"30%",IF(AND(S50="Correctivo",T50="Automático"),"35%",IF(AND(S50="Correctivo",T50="Manual"),"25%",""))))))</f>
        <v>50%</v>
      </c>
      <c r="V50" s="78" t="s">
        <v>155</v>
      </c>
      <c r="W50" s="78" t="s">
        <v>159</v>
      </c>
      <c r="X50" s="78" t="s">
        <v>165</v>
      </c>
      <c r="Y50" s="110">
        <f>IFERROR(IF(R50="Probabilidad",(J50-(+J50*U50)),IF(R50="Impacto",J50,"")),"")</f>
        <v>0.1</v>
      </c>
      <c r="Z50" s="111" t="str">
        <f t="shared" si="51"/>
        <v>Rara vez</v>
      </c>
      <c r="AA50" s="109">
        <f>+Y50</f>
        <v>0.1</v>
      </c>
      <c r="AB50" s="111" t="str">
        <f t="shared" si="53"/>
        <v>Moderado</v>
      </c>
      <c r="AC50" s="109">
        <f>IFERROR(IF(R50="Impacto",(N50-(+N50*U50)),IF(R50="Probabilidad",N50,"")),"")</f>
        <v>0.6</v>
      </c>
      <c r="AD50" s="77" t="str">
        <f t="shared" si="54"/>
        <v>Moderado</v>
      </c>
      <c r="AE50" s="78"/>
      <c r="AF50" s="105"/>
      <c r="AG50" s="112"/>
      <c r="AH50" s="113"/>
      <c r="AI50" s="113"/>
      <c r="AJ50" s="105"/>
      <c r="AK50" s="114"/>
      <c r="AL50" s="135">
        <v>45432</v>
      </c>
      <c r="AM50" s="135" t="s">
        <v>222</v>
      </c>
      <c r="AN50" s="134" t="str">
        <f>O50</f>
        <v>Moderado</v>
      </c>
      <c r="AO50" s="393" t="str">
        <f>AD53</f>
        <v>Moderado</v>
      </c>
      <c r="AP50" s="43"/>
      <c r="AQ50" s="43"/>
      <c r="AR50" s="43"/>
      <c r="AS50" s="43"/>
      <c r="AT50" s="43"/>
      <c r="AU50" s="43"/>
      <c r="AV50" s="43"/>
      <c r="AW50" s="43"/>
      <c r="AX50" s="43"/>
      <c r="AY50" s="43"/>
      <c r="AZ50" s="43"/>
      <c r="BA50" s="43"/>
      <c r="BB50" s="43"/>
      <c r="BC50" s="43"/>
      <c r="BD50" s="43"/>
      <c r="BE50" s="43"/>
      <c r="BF50" s="43"/>
      <c r="BG50" s="43"/>
      <c r="BH50" s="43"/>
      <c r="BI50" s="43"/>
      <c r="BJ50" s="43"/>
      <c r="BK50" s="43"/>
      <c r="BL50" s="43"/>
      <c r="BM50" s="43"/>
    </row>
    <row r="51" spans="2:65" ht="53.25" customHeight="1" x14ac:dyDescent="0.2">
      <c r="B51" s="141"/>
      <c r="C51" s="172"/>
      <c r="D51" s="142"/>
      <c r="E51" s="142"/>
      <c r="F51" s="142"/>
      <c r="G51" s="136"/>
      <c r="H51" s="175"/>
      <c r="I51" s="139"/>
      <c r="J51" s="138"/>
      <c r="K51" s="137"/>
      <c r="L51" s="138">
        <f>IF(NOT(ISERROR(MATCH(K51,_xlfn.ANCHORARRAY(#REF!),0))),#REF!&amp;"Por favor no seleccionar los criterios de impacto",K51)</f>
        <v>0</v>
      </c>
      <c r="M51" s="139"/>
      <c r="N51" s="138"/>
      <c r="O51" s="134"/>
      <c r="P51" s="106">
        <v>2</v>
      </c>
      <c r="Q51" s="115" t="s">
        <v>292</v>
      </c>
      <c r="R51" s="108" t="str">
        <f>IF(OR(S51="Preventivo",S51="Detectivo"),"Probabilidad",IF(S51="Correctivo","Impacto",""))</f>
        <v>Probabilidad</v>
      </c>
      <c r="S51" s="78" t="s">
        <v>146</v>
      </c>
      <c r="T51" s="78" t="s">
        <v>150</v>
      </c>
      <c r="U51" s="109" t="str">
        <f t="shared" ref="U51:U55" si="62">IF(AND(S51="Preventivo",T51="Automático"),"50%",IF(AND(S51="Preventivo",T51="Manual"),"40%",IF(AND(S51="Detectivo",T51="Automático"),"40%",IF(AND(S51="Detectivo",T51="Manual"),"30%",IF(AND(S51="Correctivo",T51="Automático"),"35%",IF(AND(S51="Correctivo",T51="Manual"),"25%",""))))))</f>
        <v>40%</v>
      </c>
      <c r="V51" s="78" t="s">
        <v>155</v>
      </c>
      <c r="W51" s="78" t="s">
        <v>159</v>
      </c>
      <c r="X51" s="78" t="s">
        <v>165</v>
      </c>
      <c r="Y51" s="110">
        <f>IFERROR(IF(AND(R50="Probabilidad",R51="Probabilidad"),(AA50-(+AA50*U51)),IF(R51="Probabilidad",(J50-(+J50*U51)),IF(R51="Impacto",AA50,""))),"")</f>
        <v>0.06</v>
      </c>
      <c r="Z51" s="111" t="str">
        <f t="shared" si="51"/>
        <v>Rara vez</v>
      </c>
      <c r="AA51" s="109">
        <f t="shared" ref="AA51:AA55" si="63">+Y51</f>
        <v>0.06</v>
      </c>
      <c r="AB51" s="111" t="str">
        <f t="shared" si="53"/>
        <v>Moderado</v>
      </c>
      <c r="AC51" s="109">
        <f>IFERROR(IF(AND(R50="Impacto",R51="Impacto"),(AC50-(+AC50*U51)),IF(R51="Impacto",(N50-(+N50*U51)),IF(R51="Probabilidad",AC50,""))),"")</f>
        <v>0.6</v>
      </c>
      <c r="AD51" s="77" t="str">
        <f t="shared" si="54"/>
        <v>Moderado</v>
      </c>
      <c r="AE51" s="78"/>
      <c r="AF51" s="105"/>
      <c r="AG51" s="112"/>
      <c r="AH51" s="113"/>
      <c r="AI51" s="113"/>
      <c r="AJ51" s="105"/>
      <c r="AK51" s="114"/>
      <c r="AL51" s="136"/>
      <c r="AM51" s="136"/>
      <c r="AN51" s="134"/>
      <c r="AO51" s="393"/>
      <c r="AP51" s="43"/>
      <c r="AQ51" s="43"/>
      <c r="AR51" s="43"/>
      <c r="AS51" s="43"/>
      <c r="AT51" s="43"/>
      <c r="AU51" s="43"/>
      <c r="AV51" s="43"/>
      <c r="AW51" s="43"/>
      <c r="AX51" s="43"/>
      <c r="AY51" s="43"/>
      <c r="AZ51" s="43"/>
      <c r="BA51" s="43"/>
      <c r="BB51" s="43"/>
      <c r="BC51" s="43"/>
      <c r="BD51" s="43"/>
      <c r="BE51" s="43"/>
      <c r="BF51" s="43"/>
      <c r="BG51" s="43"/>
      <c r="BH51" s="43"/>
      <c r="BI51" s="43"/>
      <c r="BJ51" s="43"/>
      <c r="BK51" s="43"/>
      <c r="BL51" s="43"/>
      <c r="BM51" s="43"/>
    </row>
    <row r="52" spans="2:65" ht="53.25" customHeight="1" x14ac:dyDescent="0.2">
      <c r="B52" s="141"/>
      <c r="C52" s="172"/>
      <c r="D52" s="142"/>
      <c r="E52" s="142"/>
      <c r="F52" s="142"/>
      <c r="G52" s="136"/>
      <c r="H52" s="175"/>
      <c r="I52" s="139"/>
      <c r="J52" s="138"/>
      <c r="K52" s="137"/>
      <c r="L52" s="138">
        <f>IF(NOT(ISERROR(MATCH(K52,_xlfn.ANCHORARRAY(#REF!),0))),#REF!&amp;"Por favor no seleccionar los criterios de impacto",K52)</f>
        <v>0</v>
      </c>
      <c r="M52" s="139"/>
      <c r="N52" s="138"/>
      <c r="O52" s="134"/>
      <c r="P52" s="106">
        <v>3</v>
      </c>
      <c r="Q52" s="115" t="s">
        <v>293</v>
      </c>
      <c r="R52" s="108" t="str">
        <f>IF(OR(S52="Preventivo",S52="Detectivo"),"Probabilidad",IF(S52="Correctivo","Impacto",""))</f>
        <v>Probabilidad</v>
      </c>
      <c r="S52" s="78" t="s">
        <v>144</v>
      </c>
      <c r="T52" s="78" t="s">
        <v>150</v>
      </c>
      <c r="U52" s="109" t="str">
        <f t="shared" si="62"/>
        <v>50%</v>
      </c>
      <c r="V52" s="78" t="s">
        <v>155</v>
      </c>
      <c r="W52" s="78" t="s">
        <v>159</v>
      </c>
      <c r="X52" s="78" t="s">
        <v>165</v>
      </c>
      <c r="Y52" s="110">
        <f>IFERROR(IF(AND(R51="Probabilidad",R52="Probabilidad"),(AA51-(+AA51*U52)),IF(AND(R51="Impacto",R52="Probabilidad"),(AA50-(+AA50*U52)),IF(R52="Impacto",AA51,""))),"")</f>
        <v>0.03</v>
      </c>
      <c r="Z52" s="111" t="str">
        <f t="shared" si="51"/>
        <v>Rara vez</v>
      </c>
      <c r="AA52" s="109">
        <f t="shared" si="63"/>
        <v>0.03</v>
      </c>
      <c r="AB52" s="111" t="str">
        <f t="shared" si="53"/>
        <v>Moderado</v>
      </c>
      <c r="AC52" s="109">
        <f>IFERROR(IF(AND(R51="Impacto",R52="Impacto"),(AC51-(+AC51*U52)),IF(AND(R51="Probabilidad",R52="Impacto"),(AC50-(+AC50*U52)),IF(R52="Probabilidad",AC51,""))),"")</f>
        <v>0.6</v>
      </c>
      <c r="AD52" s="77" t="str">
        <f t="shared" si="54"/>
        <v>Moderado</v>
      </c>
      <c r="AE52" s="78"/>
      <c r="AF52" s="105"/>
      <c r="AG52" s="112"/>
      <c r="AH52" s="113"/>
      <c r="AI52" s="113"/>
      <c r="AJ52" s="105"/>
      <c r="AK52" s="114"/>
      <c r="AL52" s="136"/>
      <c r="AM52" s="136"/>
      <c r="AN52" s="134"/>
      <c r="AO52" s="393"/>
      <c r="AP52" s="43"/>
      <c r="AQ52" s="43"/>
      <c r="AR52" s="43"/>
      <c r="AS52" s="43"/>
      <c r="AT52" s="43"/>
      <c r="AU52" s="43"/>
      <c r="AV52" s="43"/>
      <c r="AW52" s="43"/>
      <c r="AX52" s="43"/>
      <c r="AY52" s="43"/>
      <c r="AZ52" s="43"/>
      <c r="BA52" s="43"/>
      <c r="BB52" s="43"/>
      <c r="BC52" s="43"/>
      <c r="BD52" s="43"/>
      <c r="BE52" s="43"/>
      <c r="BF52" s="43"/>
      <c r="BG52" s="43"/>
      <c r="BH52" s="43"/>
      <c r="BI52" s="43"/>
      <c r="BJ52" s="43"/>
      <c r="BK52" s="43"/>
      <c r="BL52" s="43"/>
      <c r="BM52" s="43"/>
    </row>
    <row r="53" spans="2:65" ht="107.25" customHeight="1" x14ac:dyDescent="0.2">
      <c r="B53" s="141"/>
      <c r="C53" s="172"/>
      <c r="D53" s="142"/>
      <c r="E53" s="142"/>
      <c r="F53" s="142"/>
      <c r="G53" s="136"/>
      <c r="H53" s="175"/>
      <c r="I53" s="139"/>
      <c r="J53" s="138"/>
      <c r="K53" s="137"/>
      <c r="L53" s="138">
        <f>IF(NOT(ISERROR(MATCH(K53,_xlfn.ANCHORARRAY(#REF!),0))),#REF!&amp;"Por favor no seleccionar los criterios de impacto",K53)</f>
        <v>0</v>
      </c>
      <c r="M53" s="139"/>
      <c r="N53" s="138"/>
      <c r="O53" s="134"/>
      <c r="P53" s="106">
        <v>4</v>
      </c>
      <c r="Q53" s="115" t="s">
        <v>294</v>
      </c>
      <c r="R53" s="108" t="str">
        <f t="shared" ref="R53:R55" si="64">IF(OR(S53="Preventivo",S53="Detectivo"),"Probabilidad",IF(S53="Correctivo","Impacto",""))</f>
        <v>Probabilidad</v>
      </c>
      <c r="S53" s="78" t="s">
        <v>146</v>
      </c>
      <c r="T53" s="78" t="s">
        <v>152</v>
      </c>
      <c r="U53" s="109" t="str">
        <f t="shared" si="62"/>
        <v>30%</v>
      </c>
      <c r="V53" s="78" t="s">
        <v>157</v>
      </c>
      <c r="W53" s="78" t="s">
        <v>159</v>
      </c>
      <c r="X53" s="78" t="s">
        <v>165</v>
      </c>
      <c r="Y53" s="110">
        <f t="shared" ref="Y53:Y55" si="65">IFERROR(IF(AND(R52="Probabilidad",R53="Probabilidad"),(AA52-(+AA52*U53)),IF(AND(R52="Impacto",R53="Probabilidad"),(AA51-(+AA51*U53)),IF(R53="Impacto",AA52,""))),"")</f>
        <v>2.0999999999999998E-2</v>
      </c>
      <c r="Z53" s="111" t="str">
        <f t="shared" si="51"/>
        <v>Rara vez</v>
      </c>
      <c r="AA53" s="109">
        <f t="shared" si="63"/>
        <v>2.0999999999999998E-2</v>
      </c>
      <c r="AB53" s="111" t="str">
        <f t="shared" si="53"/>
        <v>Moderado</v>
      </c>
      <c r="AC53" s="109">
        <f t="shared" ref="AC53:AC55" si="66">IFERROR(IF(AND(R52="Impacto",R53="Impacto"),(AC52-(+AC52*U53)),IF(AND(R52="Probabilidad",R53="Impacto"),(AC51-(+AC51*U53)),IF(R53="Probabilidad",AC52,""))),"")</f>
        <v>0.6</v>
      </c>
      <c r="AD53" s="77" t="str">
        <f t="shared" si="54"/>
        <v>Moderado</v>
      </c>
      <c r="AE53" s="78" t="s">
        <v>173</v>
      </c>
      <c r="AF53" s="379"/>
      <c r="AG53" s="112"/>
      <c r="AH53" s="113"/>
      <c r="AI53" s="113"/>
      <c r="AJ53" s="105"/>
      <c r="AK53" s="114"/>
      <c r="AL53" s="136"/>
      <c r="AM53" s="136"/>
      <c r="AN53" s="134"/>
      <c r="AO53" s="393"/>
      <c r="AP53" s="43"/>
      <c r="AQ53" s="43"/>
      <c r="AR53" s="43"/>
      <c r="AS53" s="43"/>
      <c r="AT53" s="43"/>
      <c r="AU53" s="43"/>
      <c r="AV53" s="43"/>
      <c r="AW53" s="43"/>
      <c r="AX53" s="43"/>
      <c r="AY53" s="43"/>
      <c r="AZ53" s="43"/>
      <c r="BA53" s="43"/>
      <c r="BB53" s="43"/>
      <c r="BC53" s="43"/>
      <c r="BD53" s="43"/>
      <c r="BE53" s="43"/>
      <c r="BF53" s="43"/>
      <c r="BG53" s="43"/>
      <c r="BH53" s="43"/>
      <c r="BI53" s="43"/>
      <c r="BJ53" s="43"/>
      <c r="BK53" s="43"/>
      <c r="BL53" s="43"/>
      <c r="BM53" s="43"/>
    </row>
    <row r="54" spans="2:65" x14ac:dyDescent="0.2">
      <c r="B54" s="141"/>
      <c r="C54" s="172"/>
      <c r="D54" s="142"/>
      <c r="E54" s="142"/>
      <c r="F54" s="142"/>
      <c r="G54" s="136"/>
      <c r="H54" s="175"/>
      <c r="I54" s="139"/>
      <c r="J54" s="138"/>
      <c r="K54" s="137"/>
      <c r="L54" s="138">
        <f>IF(NOT(ISERROR(MATCH(K54,_xlfn.ANCHORARRAY(#REF!),0))),#REF!&amp;"Por favor no seleccionar los criterios de impacto",K54)</f>
        <v>0</v>
      </c>
      <c r="M54" s="139"/>
      <c r="N54" s="138"/>
      <c r="O54" s="134"/>
      <c r="P54" s="106">
        <v>5</v>
      </c>
      <c r="Q54" s="115"/>
      <c r="R54" s="108" t="str">
        <f t="shared" si="64"/>
        <v/>
      </c>
      <c r="S54" s="78"/>
      <c r="T54" s="78"/>
      <c r="U54" s="109" t="str">
        <f t="shared" si="62"/>
        <v/>
      </c>
      <c r="V54" s="78"/>
      <c r="W54" s="78"/>
      <c r="X54" s="78"/>
      <c r="Y54" s="110" t="str">
        <f t="shared" si="65"/>
        <v/>
      </c>
      <c r="Z54" s="111" t="str">
        <f t="shared" si="51"/>
        <v/>
      </c>
      <c r="AA54" s="109" t="str">
        <f t="shared" si="63"/>
        <v/>
      </c>
      <c r="AB54" s="111" t="str">
        <f t="shared" si="53"/>
        <v/>
      </c>
      <c r="AC54" s="109" t="str">
        <f t="shared" si="66"/>
        <v/>
      </c>
      <c r="AD54" s="77" t="str">
        <f t="shared" si="54"/>
        <v/>
      </c>
      <c r="AE54" s="78"/>
      <c r="AF54" s="105"/>
      <c r="AG54" s="112"/>
      <c r="AH54" s="113"/>
      <c r="AI54" s="113"/>
      <c r="AJ54" s="105"/>
      <c r="AK54" s="114"/>
      <c r="AL54" s="136"/>
      <c r="AM54" s="136"/>
      <c r="AN54" s="134"/>
      <c r="AO54" s="393"/>
      <c r="AP54" s="43"/>
      <c r="AQ54" s="43"/>
      <c r="AR54" s="43"/>
      <c r="AS54" s="43"/>
      <c r="AT54" s="43"/>
      <c r="AU54" s="43"/>
      <c r="AV54" s="43"/>
      <c r="AW54" s="43"/>
      <c r="AX54" s="43"/>
      <c r="AY54" s="43"/>
      <c r="AZ54" s="43"/>
      <c r="BA54" s="43"/>
      <c r="BB54" s="43"/>
      <c r="BC54" s="43"/>
      <c r="BD54" s="43"/>
      <c r="BE54" s="43"/>
      <c r="BF54" s="43"/>
      <c r="BG54" s="43"/>
      <c r="BH54" s="43"/>
      <c r="BI54" s="43"/>
      <c r="BJ54" s="43"/>
      <c r="BK54" s="43"/>
      <c r="BL54" s="43"/>
      <c r="BM54" s="43"/>
    </row>
    <row r="55" spans="2:65" x14ac:dyDescent="0.2">
      <c r="B55" s="141"/>
      <c r="C55" s="172"/>
      <c r="D55" s="142"/>
      <c r="E55" s="142"/>
      <c r="F55" s="142"/>
      <c r="G55" s="136"/>
      <c r="H55" s="175"/>
      <c r="I55" s="139"/>
      <c r="J55" s="138"/>
      <c r="K55" s="137"/>
      <c r="L55" s="138">
        <f>IF(NOT(ISERROR(MATCH(K55,_xlfn.ANCHORARRAY(#REF!),0))),J62&amp;"Por favor no seleccionar los criterios de impacto",K55)</f>
        <v>0</v>
      </c>
      <c r="M55" s="139"/>
      <c r="N55" s="138"/>
      <c r="O55" s="134"/>
      <c r="P55" s="106">
        <v>6</v>
      </c>
      <c r="Q55" s="115"/>
      <c r="R55" s="108" t="str">
        <f t="shared" si="64"/>
        <v/>
      </c>
      <c r="S55" s="78"/>
      <c r="T55" s="78"/>
      <c r="U55" s="109" t="str">
        <f t="shared" si="62"/>
        <v/>
      </c>
      <c r="V55" s="78"/>
      <c r="W55" s="78"/>
      <c r="X55" s="78"/>
      <c r="Y55" s="110" t="str">
        <f t="shared" si="65"/>
        <v/>
      </c>
      <c r="Z55" s="111" t="str">
        <f t="shared" si="51"/>
        <v/>
      </c>
      <c r="AA55" s="109" t="str">
        <f t="shared" si="63"/>
        <v/>
      </c>
      <c r="AB55" s="111" t="str">
        <f t="shared" si="53"/>
        <v/>
      </c>
      <c r="AC55" s="109" t="str">
        <f t="shared" si="66"/>
        <v/>
      </c>
      <c r="AD55" s="77" t="str">
        <f t="shared" si="54"/>
        <v/>
      </c>
      <c r="AE55" s="78"/>
      <c r="AF55" s="105"/>
      <c r="AG55" s="112"/>
      <c r="AH55" s="113"/>
      <c r="AI55" s="113"/>
      <c r="AJ55" s="105"/>
      <c r="AK55" s="114"/>
      <c r="AL55" s="136"/>
      <c r="AM55" s="136"/>
      <c r="AN55" s="134"/>
      <c r="AO55" s="393"/>
      <c r="AP55" s="43"/>
      <c r="AQ55" s="43"/>
      <c r="AR55" s="43"/>
      <c r="AS55" s="43"/>
      <c r="AT55" s="43"/>
      <c r="AU55" s="43"/>
      <c r="AV55" s="43"/>
      <c r="AW55" s="43"/>
      <c r="AX55" s="43"/>
      <c r="AY55" s="43"/>
      <c r="AZ55" s="43"/>
      <c r="BA55" s="43"/>
      <c r="BB55" s="43"/>
      <c r="BC55" s="43"/>
      <c r="BD55" s="43"/>
      <c r="BE55" s="43"/>
      <c r="BF55" s="43"/>
      <c r="BG55" s="43"/>
      <c r="BH55" s="43"/>
      <c r="BI55" s="43"/>
      <c r="BJ55" s="43"/>
      <c r="BK55" s="43"/>
      <c r="BL55" s="43"/>
      <c r="BM55" s="43"/>
    </row>
    <row r="56" spans="2:65" ht="75" x14ac:dyDescent="0.2">
      <c r="B56" s="373" t="s">
        <v>295</v>
      </c>
      <c r="C56" s="142" t="s">
        <v>192</v>
      </c>
      <c r="D56" s="136" t="s">
        <v>296</v>
      </c>
      <c r="E56" s="142" t="s">
        <v>231</v>
      </c>
      <c r="F56" s="142" t="s">
        <v>297</v>
      </c>
      <c r="G56" s="136" t="s">
        <v>298</v>
      </c>
      <c r="H56" s="142" t="s">
        <v>61</v>
      </c>
      <c r="I56" s="139" t="str">
        <f>IF(H56&lt;=0,"",IF(H56="No se ha presentado en los últimos 5 años","Rara vez",IF(H56="Al menos 1 vez en los últimos 5 años","Improbable",IF(H56="Al menos 1 vez en los últimos 2 años","Posible",IF(H56="Al menos 1 vez en el último año","Probable",IF(H56="Más de 1 vez al año","Casi Seguro"))))))</f>
        <v>Rara vez</v>
      </c>
      <c r="J56" s="138">
        <f>IF(I56="","",IF(I56="Rara vez",0.2,IF(I56="Improbable",0.4,IF(I56="Posible",0.6,IF(I56="Probable",0.8,IF(I56="Casi Seguro",1,))))))</f>
        <v>0.2</v>
      </c>
      <c r="K56" s="137" t="s">
        <v>82</v>
      </c>
      <c r="L56" s="138" t="str">
        <f>IF(NOT(ISERROR(MATCH(K56,'[7]Tabla Impacto'!$B$220:$B$222,0))),'[7]Tabla Impacto'!$F$222&amp;"Por favor no seleccionar los criterios de impacto(Criterios para calificar el impacto)",K56)</f>
        <v xml:space="preserve">Responder afirmativamente de DOCE a DIECINUEVE </v>
      </c>
      <c r="M56" s="139" t="str">
        <f>IF(OR(L56='[7]Tabla Impacto'!$C$5),"Moderado",IF(OR(L56='[7]Tabla Impacto'!$C$6),"Mayor",IF(OR(L56='[7]Tabla Impacto'!$C$7),"Catastrófico","")))</f>
        <v>Catastrófico</v>
      </c>
      <c r="N56" s="138">
        <f>IF(M56="","",IF(M56="Leve",0.2,IF(M56="Menor",0.4,IF(M56="Moderado",0.6,IF(M56="Mayor",0.8,IF(M56="Catastrófico",1,))))))</f>
        <v>1</v>
      </c>
      <c r="O56" s="134" t="str">
        <f>IF(OR(AND(I56="Rara vez",M56="Leve"),AND(I56="Rara vez",M56="Menor"),AND(I56="Improbable",M56="Leve")),"Bajo",IF(OR(AND(I56="Rara vez",M56="Moderado"),AND(I56="Improbable",M56="Menor"),AND(I56="Improbable",M56="Moderado"),AND(I56="Posible",M56="Leve"),AND(I56="Posible",M56="Menor"),AND(I56="Posible",M56="Moderado"),AND(I56="Probable",M56="Leve"),AND(I56="Probable",M56="Menor")),"Moderado",IF(OR(AND(I56="Rara vez",M56="Mayor"),AND(I56="Improbable",M56="Mayor"),AND(I56="Posible",M56="Mayor"),AND(I56="Probable",M56="Moderado"),AND(I56="Probable",M56="Mayor"),AND(I56="Casi Seguro",M56="Leve"),AND(I56="Casi Seguro",M56="Menor"),AND(I56="Casi Seguro",M56="Moderado"),AND(I56="Casi Seguro",M56="Mayor")),"Alto",IF(OR(AND(I56="Rara vez",M56="Catastrófico"),AND(I56="Improbable",M56="Catastrófico"),AND(I56="Posible",M56="Catastrófico"),AND(I56="Probable",M56="Catastrófico"),AND(I56="Casi Seguro",M56="Catastrófico")),"Extremo",""))))</f>
        <v>Extremo</v>
      </c>
      <c r="P56" s="106">
        <v>1</v>
      </c>
      <c r="Q56" s="115" t="s">
        <v>299</v>
      </c>
      <c r="R56" s="108" t="str">
        <f>IF(OR(S56="Preventivo",S56="Detectivo"),"Probabilidad",IF(S56="Correctivo","Impacto",""))</f>
        <v>Probabilidad</v>
      </c>
      <c r="S56" s="78" t="s">
        <v>144</v>
      </c>
      <c r="T56" s="78" t="s">
        <v>152</v>
      </c>
      <c r="U56" s="109" t="str">
        <f>IF(AND(S56="Preventivo",T56="Automático"),"50%",IF(AND(S56="Preventivo",T56="Manual"),"40%",IF(AND(S56="Detectivo",T56="Automático"),"40%",IF(AND(S56="Detectivo",T56="Manual"),"30%",IF(AND(S56="Correctivo",T56="Automático"),"35%",IF(AND(S56="Correctivo",T56="Manual"),"25%",""))))))</f>
        <v>40%</v>
      </c>
      <c r="V56" s="78" t="s">
        <v>155</v>
      </c>
      <c r="W56" s="78" t="s">
        <v>159</v>
      </c>
      <c r="X56" s="78" t="s">
        <v>195</v>
      </c>
      <c r="Y56" s="110">
        <f>IFERROR(IF(R56="Probabilidad",(J56-(+J56*U56)),IF(R56="Impacto",J56,"")),"")</f>
        <v>0.12</v>
      </c>
      <c r="Z56" s="111" t="str">
        <f>IFERROR(IF(Y56="","",IF(Y56&lt;=0.2,"Rara vez",IF(Y56&lt;=0.4,"Improbable",IF(Y56&lt;=0.6,"Posible",IF(Y56&lt;=0.8,"Probable","Casi Seguro"))))),"")</f>
        <v>Rara vez</v>
      </c>
      <c r="AA56" s="109">
        <f>+Y56</f>
        <v>0.12</v>
      </c>
      <c r="AB56" s="111" t="str">
        <f>IFERROR(IF(AC56="","",IF(AC56&lt;=0.6,"Moderado",IF(AC56&lt;=0.8,"Mayor","Catastrófico"))),"")</f>
        <v>Catastrófico</v>
      </c>
      <c r="AC56" s="109">
        <f>IFERROR(IF(R56="Impacto",(N56-(+N56*U56)),IF(R56="Probabilidad",N56,"")),"")</f>
        <v>1</v>
      </c>
      <c r="AD56" s="77" t="str">
        <f>IFERROR(IF(OR(AND(Z56="Rara vez",AB56="Leve"),AND(Z56="Rara vez",AB56="Menor"),AND(Z56="Improbable",AB56="Leve")),"Bajo",IF(OR(AND(Z56="Rara vez",AB56="Moderado"),AND(Z56="Improbable",AB56="Menor"),AND(Z56="Improbable",AB56="Moderado"),AND(Z56="Posible",AB56="Leve"),AND(Z56="Posible",AB56="Menor"),AND(Z56="Posible",AB56="Moderado"),AND(Z56="Probable",AB56="Leve"),AND(Z56="Probable",AB56="Menor")),"Moderado",IF(OR(AND(Z56="Rara vez",AB56="Mayor"),AND(Z56="Improbable",AB56="Mayor"),AND(Z56="Posible",AB56="Mayor"),AND(Z56="Probable",AB56="Moderado"),AND(Z56="Probable",AB56="Mayor"),AND(Z56="Casi Seguro",AB56="Leve"),AND(Z56="Casi Seguro",AB56="Menor"),AND(Z56="Casi Seguro",AB56="Moderado"),AND(Z56="Casi Seguro",AB56="Mayor")),"Alto",IF(OR(AND(Z56="Rara vez",AB56="Catastrófico"),AND(Z56="Improbable",AB56="Catastrófico"),AND(Z56="Posible",AB56="Catastrófico"),AND(Z56="Probable",AB56="Catastrófico"),AND(Z56="Casi Seguro",AB56="Catastrófico")),"Extremo","")))),"")</f>
        <v>Extremo</v>
      </c>
      <c r="AE56" s="78"/>
      <c r="AF56" s="105"/>
      <c r="AG56" s="112"/>
      <c r="AH56" s="113"/>
      <c r="AI56" s="113"/>
      <c r="AJ56" s="105"/>
      <c r="AK56" s="112"/>
      <c r="AL56" s="155">
        <v>44917</v>
      </c>
      <c r="AM56" s="155" t="s">
        <v>222</v>
      </c>
      <c r="AN56" s="152" t="str">
        <f>+O56</f>
        <v>Extremo</v>
      </c>
      <c r="AO56" s="394" t="str">
        <f>+AD58</f>
        <v>Alto</v>
      </c>
      <c r="AP56" s="43"/>
      <c r="AQ56" s="43"/>
      <c r="AR56" s="43"/>
      <c r="AS56" s="43"/>
      <c r="AT56" s="43"/>
      <c r="AU56" s="43"/>
      <c r="AV56" s="43"/>
      <c r="AW56" s="43"/>
      <c r="AX56" s="43"/>
      <c r="AY56" s="43"/>
      <c r="AZ56" s="43"/>
      <c r="BA56" s="43"/>
      <c r="BB56" s="43"/>
      <c r="BC56" s="43"/>
      <c r="BD56" s="43"/>
      <c r="BE56" s="43"/>
      <c r="BF56" s="43"/>
      <c r="BG56" s="43"/>
      <c r="BH56" s="43"/>
      <c r="BI56" s="43"/>
      <c r="BJ56" s="43"/>
      <c r="BK56" s="43"/>
      <c r="BL56" s="43"/>
      <c r="BM56" s="43"/>
    </row>
    <row r="57" spans="2:65" ht="75" x14ac:dyDescent="0.2">
      <c r="B57" s="373"/>
      <c r="C57" s="142"/>
      <c r="D57" s="136"/>
      <c r="E57" s="142"/>
      <c r="F57" s="142"/>
      <c r="G57" s="136"/>
      <c r="H57" s="142"/>
      <c r="I57" s="139"/>
      <c r="J57" s="138"/>
      <c r="K57" s="137"/>
      <c r="L57" s="138">
        <f>IF(NOT(ISERROR(MATCH(K57,_xlfn.ANCHORARRAY(G62),0))),J64&amp;"Por favor no seleccionar los criterios de impacto",K57)</f>
        <v>0</v>
      </c>
      <c r="M57" s="139"/>
      <c r="N57" s="138"/>
      <c r="O57" s="134"/>
      <c r="P57" s="106">
        <v>2</v>
      </c>
      <c r="Q57" s="115" t="s">
        <v>300</v>
      </c>
      <c r="R57" s="108" t="str">
        <f>IF(OR(S57="Preventivo",S57="Detectivo"),"Probabilidad",IF(S57="Correctivo","Impacto",""))</f>
        <v>Probabilidad</v>
      </c>
      <c r="S57" s="78" t="s">
        <v>146</v>
      </c>
      <c r="T57" s="78" t="s">
        <v>152</v>
      </c>
      <c r="U57" s="109" t="str">
        <f t="shared" ref="U57:U67" si="67">IF(AND(S57="Preventivo",T57="Automático"),"50%",IF(AND(S57="Preventivo",T57="Manual"),"40%",IF(AND(S57="Detectivo",T57="Automático"),"40%",IF(AND(S57="Detectivo",T57="Manual"),"30%",IF(AND(S57="Correctivo",T57="Automático"),"35%",IF(AND(S57="Correctivo",T57="Manual"),"25%",""))))))</f>
        <v>30%</v>
      </c>
      <c r="V57" s="78" t="s">
        <v>155</v>
      </c>
      <c r="W57" s="78" t="s">
        <v>159</v>
      </c>
      <c r="X57" s="78" t="s">
        <v>195</v>
      </c>
      <c r="Y57" s="110">
        <f>IFERROR(IF(AND(R56="Probabilidad",R57="Probabilidad"),(AA56-(+AA56*U57)),IF(R57="Probabilidad",(J56-(+J56*U57)),IF(R57="Impacto",AA56,""))),"")</f>
        <v>8.3999999999999991E-2</v>
      </c>
      <c r="Z57" s="111" t="str">
        <f t="shared" ref="Z57:Z61" si="68">IFERROR(IF(Y57="","",IF(Y57&lt;=0.2,"Rara vez",IF(Y57&lt;=0.4,"Improbable",IF(Y57&lt;=0.6,"Posible",IF(Y57&lt;=0.8,"Probable","Casi Seguro"))))),"")</f>
        <v>Rara vez</v>
      </c>
      <c r="AA57" s="109">
        <f t="shared" ref="AA57:AA61" si="69">+Y57</f>
        <v>8.3999999999999991E-2</v>
      </c>
      <c r="AB57" s="111" t="str">
        <f t="shared" ref="AB57:AB61" si="70">IFERROR(IF(AC57="","",IF(AC57&lt;=0.6,"Moderado",IF(AC57&lt;=0.8,"Mayor","Catastrófico"))),"")</f>
        <v>Catastrófico</v>
      </c>
      <c r="AC57" s="109">
        <f>IFERROR(IF(AND(R56="Impacto",R57="Impacto"),(AC56-(+AC56*U57)),IF(R57="Impacto",(N56-(+N56*U57)),IF(R57="Probabilidad",AC56,""))),"")</f>
        <v>1</v>
      </c>
      <c r="AD57" s="77" t="str">
        <f t="shared" ref="AD57:AD61" si="71">IFERROR(IF(OR(AND(Z57="Rara vez",AB57="Leve"),AND(Z57="Rara vez",AB57="Menor"),AND(Z57="Improbable",AB57="Leve")),"Bajo",IF(OR(AND(Z57="Rara vez",AB57="Moderado"),AND(Z57="Improbable",AB57="Menor"),AND(Z57="Improbable",AB57="Moderado"),AND(Z57="Posible",AB57="Leve"),AND(Z57="Posible",AB57="Menor"),AND(Z57="Posible",AB57="Moderado"),AND(Z57="Probable",AB57="Leve"),AND(Z57="Probable",AB57="Menor")),"Moderado",IF(OR(AND(Z57="Rara vez",AB57="Mayor"),AND(Z57="Improbable",AB57="Mayor"),AND(Z57="Posible",AB57="Mayor"),AND(Z57="Probable",AB57="Moderado"),AND(Z57="Probable",AB57="Mayor"),AND(Z57="Casi Seguro",AB57="Leve"),AND(Z57="Casi Seguro",AB57="Menor"),AND(Z57="Casi Seguro",AB57="Moderado"),AND(Z57="Casi Seguro",AB57="Mayor")),"Alto",IF(OR(AND(Z57="Rara vez",AB57="Catastrófico"),AND(Z57="Improbable",AB57="Catastrófico"),AND(Z57="Posible",AB57="Catastrófico"),AND(Z57="Probable",AB57="Catastrófico"),AND(Z57="Casi Seguro",AB57="Catastrófico")),"Extremo","")))),"")</f>
        <v>Extremo</v>
      </c>
      <c r="AE57" s="78"/>
      <c r="AF57" s="105"/>
      <c r="AG57" s="112"/>
      <c r="AH57" s="113"/>
      <c r="AI57" s="113"/>
      <c r="AJ57" s="105"/>
      <c r="AK57" s="112"/>
      <c r="AL57" s="156"/>
      <c r="AM57" s="156"/>
      <c r="AN57" s="153"/>
      <c r="AO57" s="395"/>
      <c r="AP57" s="43"/>
      <c r="AQ57" s="43"/>
      <c r="AR57" s="43"/>
      <c r="AS57" s="43"/>
      <c r="AT57" s="43"/>
      <c r="AU57" s="43"/>
      <c r="AV57" s="43"/>
      <c r="AW57" s="43"/>
      <c r="AX57" s="43"/>
      <c r="AY57" s="43"/>
      <c r="AZ57" s="43"/>
      <c r="BA57" s="43"/>
      <c r="BB57" s="43"/>
      <c r="BC57" s="43"/>
      <c r="BD57" s="43"/>
      <c r="BE57" s="43"/>
      <c r="BF57" s="43"/>
      <c r="BG57" s="43"/>
      <c r="BH57" s="43"/>
      <c r="BI57" s="43"/>
      <c r="BJ57" s="43"/>
      <c r="BK57" s="43"/>
      <c r="BL57" s="43"/>
      <c r="BM57" s="43"/>
    </row>
    <row r="58" spans="2:65" ht="114.75" customHeight="1" x14ac:dyDescent="0.2">
      <c r="B58" s="373"/>
      <c r="C58" s="142"/>
      <c r="D58" s="136"/>
      <c r="E58" s="142"/>
      <c r="F58" s="142"/>
      <c r="G58" s="136"/>
      <c r="H58" s="142"/>
      <c r="I58" s="139"/>
      <c r="J58" s="138"/>
      <c r="K58" s="137"/>
      <c r="L58" s="138">
        <f>IF(NOT(ISERROR(MATCH(K58,_xlfn.ANCHORARRAY(G63),0))),J65&amp;"Por favor no seleccionar los criterios de impacto",K58)</f>
        <v>0</v>
      </c>
      <c r="M58" s="139"/>
      <c r="N58" s="138"/>
      <c r="O58" s="134"/>
      <c r="P58" s="106">
        <v>3</v>
      </c>
      <c r="Q58" s="115" t="s">
        <v>483</v>
      </c>
      <c r="R58" s="108" t="str">
        <f>IF(OR(S58="Preventivo",S58="Detectivo"),"Probabilidad",IF(S58="Correctivo","Impacto",""))</f>
        <v>Impacto</v>
      </c>
      <c r="S58" s="78" t="s">
        <v>148</v>
      </c>
      <c r="T58" s="78" t="s">
        <v>152</v>
      </c>
      <c r="U58" s="109" t="str">
        <f t="shared" si="67"/>
        <v>25%</v>
      </c>
      <c r="V58" s="78" t="s">
        <v>155</v>
      </c>
      <c r="W58" s="78" t="s">
        <v>159</v>
      </c>
      <c r="X58" s="78" t="s">
        <v>195</v>
      </c>
      <c r="Y58" s="110">
        <f>IFERROR(IF(AND(R57="Probabilidad",R58="Probabilidad"),(AA57-(+AA57*U58)),IF(AND(R57="Impacto",R58="Probabilidad"),(AA56-(+AA56*U58)),IF(R58="Impacto",AA57,""))),"")</f>
        <v>8.3999999999999991E-2</v>
      </c>
      <c r="Z58" s="111" t="str">
        <f t="shared" si="68"/>
        <v>Rara vez</v>
      </c>
      <c r="AA58" s="109">
        <f t="shared" si="69"/>
        <v>8.3999999999999991E-2</v>
      </c>
      <c r="AB58" s="111" t="str">
        <f t="shared" si="70"/>
        <v>Mayor</v>
      </c>
      <c r="AC58" s="109">
        <f>IFERROR(IF(AND(R57="Impacto",R58="Impacto"),(AC57-(+AC57*U58)),IF(AND(R57="Probabilidad",R58="Impacto"),(AC56-(+AC56*U58)),IF(R58="Probabilidad",AC57,""))),"")</f>
        <v>0.75</v>
      </c>
      <c r="AD58" s="77" t="str">
        <f t="shared" si="71"/>
        <v>Alto</v>
      </c>
      <c r="AE58" s="78" t="s">
        <v>173</v>
      </c>
      <c r="AF58" s="105" t="s">
        <v>466</v>
      </c>
      <c r="AG58" s="380" t="s">
        <v>467</v>
      </c>
      <c r="AH58" s="113">
        <v>45657</v>
      </c>
      <c r="AI58" s="113"/>
      <c r="AJ58" s="105"/>
      <c r="AK58" s="112" t="s">
        <v>176</v>
      </c>
      <c r="AL58" s="156"/>
      <c r="AM58" s="156"/>
      <c r="AN58" s="153"/>
      <c r="AO58" s="395"/>
      <c r="AP58" s="43"/>
      <c r="AQ58" s="43"/>
      <c r="AR58" s="43"/>
      <c r="AS58" s="43"/>
      <c r="AT58" s="43"/>
      <c r="AU58" s="43"/>
      <c r="AV58" s="43"/>
      <c r="AW58" s="43"/>
      <c r="AX58" s="43"/>
      <c r="AY58" s="43"/>
      <c r="AZ58" s="43"/>
      <c r="BA58" s="43"/>
      <c r="BB58" s="43"/>
      <c r="BC58" s="43"/>
      <c r="BD58" s="43"/>
      <c r="BE58" s="43"/>
      <c r="BF58" s="43"/>
      <c r="BG58" s="43"/>
      <c r="BH58" s="43"/>
      <c r="BI58" s="43"/>
      <c r="BJ58" s="43"/>
      <c r="BK58" s="43"/>
      <c r="BL58" s="43"/>
      <c r="BM58" s="43"/>
    </row>
    <row r="59" spans="2:65" x14ac:dyDescent="0.2">
      <c r="B59" s="373"/>
      <c r="C59" s="142"/>
      <c r="D59" s="136"/>
      <c r="E59" s="142"/>
      <c r="F59" s="142"/>
      <c r="G59" s="136"/>
      <c r="H59" s="142"/>
      <c r="I59" s="139"/>
      <c r="J59" s="138"/>
      <c r="K59" s="137"/>
      <c r="L59" s="138">
        <f>IF(NOT(ISERROR(MATCH(K59,_xlfn.ANCHORARRAY(G64),0))),J66&amp;"Por favor no seleccionar los criterios de impacto",K59)</f>
        <v>0</v>
      </c>
      <c r="M59" s="139"/>
      <c r="N59" s="138"/>
      <c r="O59" s="134"/>
      <c r="P59" s="106">
        <v>4</v>
      </c>
      <c r="Q59" s="115"/>
      <c r="R59" s="108" t="str">
        <f t="shared" ref="R59:R61" si="72">IF(OR(S59="Preventivo",S59="Detectivo"),"Probabilidad",IF(S59="Correctivo","Impacto",""))</f>
        <v/>
      </c>
      <c r="S59" s="78"/>
      <c r="T59" s="78"/>
      <c r="U59" s="109" t="str">
        <f t="shared" si="67"/>
        <v/>
      </c>
      <c r="V59" s="78"/>
      <c r="W59" s="78"/>
      <c r="X59" s="78"/>
      <c r="Y59" s="110" t="str">
        <f t="shared" ref="Y59:Y61" si="73">IFERROR(IF(AND(R58="Probabilidad",R59="Probabilidad"),(AA58-(+AA58*U59)),IF(AND(R58="Impacto",R59="Probabilidad"),(AA57-(+AA57*U59)),IF(R59="Impacto",AA58,""))),"")</f>
        <v/>
      </c>
      <c r="Z59" s="111" t="str">
        <f t="shared" si="68"/>
        <v/>
      </c>
      <c r="AA59" s="109" t="str">
        <f t="shared" si="69"/>
        <v/>
      </c>
      <c r="AB59" s="111" t="str">
        <f t="shared" si="70"/>
        <v/>
      </c>
      <c r="AC59" s="109" t="str">
        <f t="shared" ref="AC59:AC61" si="74">IFERROR(IF(AND(R58="Impacto",R59="Impacto"),(AC58-(+AC58*U59)),IF(AND(R58="Probabilidad",R59="Impacto"),(AC57-(+AC57*U59)),IF(R59="Probabilidad",AC58,""))),"")</f>
        <v/>
      </c>
      <c r="AD59" s="77" t="str">
        <f t="shared" si="71"/>
        <v/>
      </c>
      <c r="AE59" s="78"/>
      <c r="AF59" s="105"/>
      <c r="AG59" s="112"/>
      <c r="AH59" s="113"/>
      <c r="AI59" s="113"/>
      <c r="AJ59" s="105"/>
      <c r="AK59" s="112"/>
      <c r="AL59" s="156"/>
      <c r="AM59" s="156"/>
      <c r="AN59" s="153"/>
      <c r="AO59" s="395"/>
      <c r="AP59" s="43"/>
      <c r="AQ59" s="43"/>
      <c r="AR59" s="43"/>
      <c r="AS59" s="43"/>
      <c r="AT59" s="43"/>
      <c r="AU59" s="43"/>
      <c r="AV59" s="43"/>
      <c r="AW59" s="43"/>
      <c r="AX59" s="43"/>
      <c r="AY59" s="43"/>
      <c r="AZ59" s="43"/>
      <c r="BA59" s="43"/>
      <c r="BB59" s="43"/>
      <c r="BC59" s="43"/>
      <c r="BD59" s="43"/>
      <c r="BE59" s="43"/>
      <c r="BF59" s="43"/>
      <c r="BG59" s="43"/>
      <c r="BH59" s="43"/>
      <c r="BI59" s="43"/>
      <c r="BJ59" s="43"/>
      <c r="BK59" s="43"/>
      <c r="BL59" s="43"/>
      <c r="BM59" s="43"/>
    </row>
    <row r="60" spans="2:65" x14ac:dyDescent="0.2">
      <c r="B60" s="373"/>
      <c r="C60" s="142"/>
      <c r="D60" s="136"/>
      <c r="E60" s="142"/>
      <c r="F60" s="142"/>
      <c r="G60" s="136"/>
      <c r="H60" s="142"/>
      <c r="I60" s="139"/>
      <c r="J60" s="138"/>
      <c r="K60" s="137"/>
      <c r="L60" s="138">
        <f>IF(NOT(ISERROR(MATCH(K60,_xlfn.ANCHORARRAY(G65),0))),J67&amp;"Por favor no seleccionar los criterios de impacto",K60)</f>
        <v>0</v>
      </c>
      <c r="M60" s="139"/>
      <c r="N60" s="138"/>
      <c r="O60" s="134"/>
      <c r="P60" s="106">
        <v>5</v>
      </c>
      <c r="Q60" s="115"/>
      <c r="R60" s="108" t="str">
        <f t="shared" si="72"/>
        <v/>
      </c>
      <c r="S60" s="78"/>
      <c r="T60" s="78"/>
      <c r="U60" s="109" t="str">
        <f t="shared" si="67"/>
        <v/>
      </c>
      <c r="V60" s="78"/>
      <c r="W60" s="78"/>
      <c r="X60" s="78"/>
      <c r="Y60" s="110" t="str">
        <f t="shared" si="73"/>
        <v/>
      </c>
      <c r="Z60" s="111" t="str">
        <f t="shared" si="68"/>
        <v/>
      </c>
      <c r="AA60" s="109" t="str">
        <f t="shared" si="69"/>
        <v/>
      </c>
      <c r="AB60" s="111" t="str">
        <f t="shared" si="70"/>
        <v/>
      </c>
      <c r="AC60" s="109" t="str">
        <f t="shared" si="74"/>
        <v/>
      </c>
      <c r="AD60" s="77" t="str">
        <f t="shared" si="71"/>
        <v/>
      </c>
      <c r="AE60" s="78"/>
      <c r="AF60" s="105"/>
      <c r="AG60" s="112"/>
      <c r="AH60" s="113"/>
      <c r="AI60" s="113"/>
      <c r="AJ60" s="105"/>
      <c r="AK60" s="112"/>
      <c r="AL60" s="156"/>
      <c r="AM60" s="156"/>
      <c r="AN60" s="153"/>
      <c r="AO60" s="395"/>
      <c r="AP60" s="43"/>
      <c r="AQ60" s="43"/>
      <c r="AR60" s="43"/>
      <c r="AS60" s="43"/>
      <c r="AT60" s="43"/>
      <c r="AU60" s="43"/>
      <c r="AV60" s="43"/>
      <c r="AW60" s="43"/>
      <c r="AX60" s="43"/>
      <c r="AY60" s="43"/>
      <c r="AZ60" s="43"/>
      <c r="BA60" s="43"/>
      <c r="BB60" s="43"/>
      <c r="BC60" s="43"/>
      <c r="BD60" s="43"/>
      <c r="BE60" s="43"/>
      <c r="BF60" s="43"/>
      <c r="BG60" s="43"/>
      <c r="BH60" s="43"/>
      <c r="BI60" s="43"/>
      <c r="BJ60" s="43"/>
      <c r="BK60" s="43"/>
      <c r="BL60" s="43"/>
      <c r="BM60" s="43"/>
    </row>
    <row r="61" spans="2:65" x14ac:dyDescent="0.2">
      <c r="B61" s="373"/>
      <c r="C61" s="142"/>
      <c r="D61" s="136"/>
      <c r="E61" s="142"/>
      <c r="F61" s="142"/>
      <c r="G61" s="136"/>
      <c r="H61" s="142"/>
      <c r="I61" s="139"/>
      <c r="J61" s="138"/>
      <c r="K61" s="137"/>
      <c r="L61" s="138">
        <f>IF(NOT(ISERROR(MATCH(K61,_xlfn.ANCHORARRAY(G66),0))),J68&amp;"Por favor no seleccionar los criterios de impacto",K61)</f>
        <v>0</v>
      </c>
      <c r="M61" s="139"/>
      <c r="N61" s="138"/>
      <c r="O61" s="134"/>
      <c r="P61" s="106">
        <v>6</v>
      </c>
      <c r="Q61" s="115"/>
      <c r="R61" s="108" t="str">
        <f t="shared" si="72"/>
        <v/>
      </c>
      <c r="S61" s="78"/>
      <c r="T61" s="78"/>
      <c r="U61" s="109" t="str">
        <f t="shared" si="67"/>
        <v/>
      </c>
      <c r="V61" s="78"/>
      <c r="W61" s="78"/>
      <c r="X61" s="78"/>
      <c r="Y61" s="110" t="str">
        <f t="shared" si="73"/>
        <v/>
      </c>
      <c r="Z61" s="111" t="str">
        <f t="shared" si="68"/>
        <v/>
      </c>
      <c r="AA61" s="109" t="str">
        <f t="shared" si="69"/>
        <v/>
      </c>
      <c r="AB61" s="111" t="str">
        <f t="shared" si="70"/>
        <v/>
      </c>
      <c r="AC61" s="109" t="str">
        <f t="shared" si="74"/>
        <v/>
      </c>
      <c r="AD61" s="77" t="str">
        <f t="shared" si="71"/>
        <v/>
      </c>
      <c r="AE61" s="78"/>
      <c r="AF61" s="105"/>
      <c r="AG61" s="112"/>
      <c r="AH61" s="113"/>
      <c r="AI61" s="113"/>
      <c r="AJ61" s="105"/>
      <c r="AK61" s="112"/>
      <c r="AL61" s="157"/>
      <c r="AM61" s="157"/>
      <c r="AN61" s="154"/>
      <c r="AO61" s="396"/>
      <c r="AP61" s="43"/>
      <c r="AQ61" s="43"/>
      <c r="AR61" s="43"/>
      <c r="AS61" s="43"/>
      <c r="AT61" s="43"/>
      <c r="AU61" s="43"/>
      <c r="AV61" s="43"/>
      <c r="AW61" s="43"/>
      <c r="AX61" s="43"/>
      <c r="AY61" s="43"/>
      <c r="AZ61" s="43"/>
      <c r="BA61" s="43"/>
      <c r="BB61" s="43"/>
      <c r="BC61" s="43"/>
      <c r="BD61" s="43"/>
      <c r="BE61" s="43"/>
      <c r="BF61" s="43"/>
      <c r="BG61" s="43"/>
      <c r="BH61" s="43"/>
      <c r="BI61" s="43"/>
      <c r="BJ61" s="43"/>
      <c r="BK61" s="43"/>
      <c r="BL61" s="43"/>
      <c r="BM61" s="43"/>
    </row>
    <row r="62" spans="2:65" ht="53.25" customHeight="1" x14ac:dyDescent="0.2">
      <c r="B62" s="141" t="s">
        <v>302</v>
      </c>
      <c r="C62" s="142" t="s">
        <v>187</v>
      </c>
      <c r="D62" s="142" t="s">
        <v>303</v>
      </c>
      <c r="E62" s="142" t="s">
        <v>231</v>
      </c>
      <c r="F62" s="142" t="s">
        <v>262</v>
      </c>
      <c r="G62" s="136" t="s">
        <v>304</v>
      </c>
      <c r="H62" s="142" t="s">
        <v>61</v>
      </c>
      <c r="I62" s="139" t="str">
        <f t="shared" ref="I62" si="75">IF(H62&lt;=0,"",IF(H62="No se ha presentado en los últimos 5 años","Rara vez",IF(H62="Al menos 1 vez en los últimos 5 años","Improbable",IF(H62="Al menos 1 vez en los últimos 2 años","Posible",IF(H62="Al menos 1 vez en el último año","Probable",IF(H62="Más de 1 vez al año","Casi Seguro"))))))</f>
        <v>Rara vez</v>
      </c>
      <c r="J62" s="138">
        <f t="shared" ref="J62" si="76">IF(I62="","",IF(I62="Rara vez",0.2,IF(I62="Improbable",0.4,IF(I62="Posible",0.6,IF(I62="Probable",0.8,IF(I62="Casi Seguro",1,))))))</f>
        <v>0.2</v>
      </c>
      <c r="K62" s="137" t="s">
        <v>82</v>
      </c>
      <c r="L62" s="138" t="str">
        <f>IF(NOT(ISERROR(MATCH(K62,'[7]Tabla Impacto'!$B$220:$B$222,0))),'[7]Tabla Impacto'!$F$222&amp;"Por favor no seleccionar los criterios de impacto(Afectación Económica o presupuestal y Pérdida Reputacional)",K62)</f>
        <v xml:space="preserve">Responder afirmativamente de DOCE a DIECINUEVE </v>
      </c>
      <c r="M62" s="139" t="str">
        <f>IF(OR(L62='[7]Tabla Impacto'!$C$5),"Moderado",IF(OR(L62='[7]Tabla Impacto'!$C$6),"Mayor",IF(OR(L62='[7]Tabla Impacto'!$C$7),"Catastrófico","")))</f>
        <v>Catastrófico</v>
      </c>
      <c r="N62" s="138">
        <f>IF(M62="","",IF(M62="Leve",0.2,IF(M62="Menor",0.4,IF(M62="Moderado",0.6,IF(M62="Mayor",0.8,IF(M62="Catastrófico",1,))))))</f>
        <v>1</v>
      </c>
      <c r="O62" s="134" t="str">
        <f t="shared" ref="O62" si="77">IF(OR(AND(I62="Rara vez",M62="Leve"),AND(I62="Rara vez",M62="Menor"),AND(I62="Improbable",M62="Leve")),"Bajo",IF(OR(AND(I62="Rara vez",M62="Moderado"),AND(I62="Improbable",M62="Menor"),AND(I62="Improbable",M62="Moderado"),AND(I62="Posible",M62="Leve"),AND(I62="Posible",M62="Menor"),AND(I62="Posible",M62="Moderado"),AND(I62="Probable",M62="Leve"),AND(I62="Probable",M62="Menor")),"Moderado",IF(OR(AND(I62="Rara vez",M62="Mayor"),AND(I62="Improbable",M62="Mayor"),AND(I62="Posible",M62="Mayor"),AND(I62="Probable",M62="Moderado"),AND(I62="Probable",M62="Mayor"),AND(I62="Casi Seguro",M62="Leve"),AND(I62="Casi Seguro",M62="Menor"),AND(I62="Casi Seguro",M62="Moderado"),AND(I62="Casi Seguro",M62="Mayor")),"Alto",IF(OR(AND(I62="Rara vez",M62="Catastrófico"),AND(I62="Improbable",M62="Catastrófico"),AND(I62="Posible",M62="Catastrófico"),AND(I62="Probable",M62="Catastrófico"),AND(I62="Casi Seguro",M62="Catastrófico")),"Extremo",""))))</f>
        <v>Extremo</v>
      </c>
      <c r="P62" s="106">
        <v>1</v>
      </c>
      <c r="Q62" s="115" t="s">
        <v>305</v>
      </c>
      <c r="R62" s="108" t="str">
        <f>IF(OR(S62="Preventivo",S62="Detectivo"),"Probabilidad",IF(S62="Correctivo","Impacto",""))</f>
        <v>Probabilidad</v>
      </c>
      <c r="S62" s="78" t="s">
        <v>144</v>
      </c>
      <c r="T62" s="78" t="s">
        <v>152</v>
      </c>
      <c r="U62" s="109" t="str">
        <f t="shared" si="67"/>
        <v>40%</v>
      </c>
      <c r="V62" s="78" t="s">
        <v>155</v>
      </c>
      <c r="W62" s="78" t="s">
        <v>159</v>
      </c>
      <c r="X62" s="78" t="s">
        <v>195</v>
      </c>
      <c r="Y62" s="110">
        <f>IFERROR(IF(R62="Probabilidad",(J62-(+J62*U62)),IF(R62="Impacto",J62,"")),"")</f>
        <v>0.12</v>
      </c>
      <c r="Z62" s="111" t="str">
        <f t="shared" ref="Z62:Z79" si="78">IFERROR(IF(Y62="","",IF(Y62&lt;=0.2,"Rara vez",IF(Y62&lt;=0.4,"Improbable",IF(Y62&lt;=0.6,"Posible",IF(Y62&lt;=0.8,"Probable","Casi Seguro"))))),"")</f>
        <v>Rara vez</v>
      </c>
      <c r="AA62" s="109">
        <f>+Y62</f>
        <v>0.12</v>
      </c>
      <c r="AB62" s="111" t="str">
        <f t="shared" ref="AB62:AB79" si="79">IFERROR(IF(AC62="","",IF(AC62&lt;=0.6,"Moderado",IF(AC62&lt;=0.8,"Mayor","Catastrófico"))),"")</f>
        <v>Catastrófico</v>
      </c>
      <c r="AC62" s="109">
        <f>IFERROR(IF(R62="Impacto",(N62-(+N62*U62)),IF(R62="Probabilidad",N62,"")),"")</f>
        <v>1</v>
      </c>
      <c r="AD62" s="77" t="str">
        <f t="shared" ref="AD62:AD76" si="80">IFERROR(IF(OR(AND(Z62="Rara vez",AB62="Leve"),AND(Z62="Rara vez",AB62="Menor"),AND(Z62="Improbable",AB62="Leve")),"Bajo",IF(OR(AND(Z62="Rara vez",AB62="Moderado"),AND(Z62="Improbable",AB62="Menor"),AND(Z62="Improbable",AB62="Moderado"),AND(Z62="Posible",AB62="Leve"),AND(Z62="Posible",AB62="Menor"),AND(Z62="Posible",AB62="Moderado"),AND(Z62="Probable",AB62="Leve"),AND(Z62="Probable",AB62="Menor")),"Moderado",IF(OR(AND(Z62="Rara vez",AB62="Mayor"),AND(Z62="Improbable",AB62="Mayor"),AND(Z62="Posible",AB62="Mayor"),AND(Z62="Probable",AB62="Moderado"),AND(Z62="Probable",AB62="Mayor"),AND(Z62="Casi Seguro",AB62="Leve"),AND(Z62="Casi Seguro",AB62="Menor"),AND(Z62="Casi Seguro",AB62="Moderado"),AND(Z62="Casi Seguro",AB62="Mayor")),"Alto",IF(OR(AND(Z62="Rara vez",AB62="Catastrófico"),AND(Z62="Improbable",AB62="Catastrófico"),AND(Z62="Posible",AB62="Catastrófico"),AND(Z62="Probable",AB62="Catastrófico"),AND(Z62="Casi Seguro",AB62="Catastrófico")),"Extremo","")))),"")</f>
        <v>Extremo</v>
      </c>
      <c r="AE62" s="78"/>
      <c r="AF62" s="105"/>
      <c r="AG62" s="112"/>
      <c r="AH62" s="113"/>
      <c r="AI62" s="113"/>
      <c r="AJ62" s="105"/>
      <c r="AK62" s="112"/>
      <c r="AL62" s="135">
        <v>45411</v>
      </c>
      <c r="AM62" s="135" t="s">
        <v>222</v>
      </c>
      <c r="AN62" s="134" t="str">
        <f>+O62</f>
        <v>Extremo</v>
      </c>
      <c r="AO62" s="393" t="str">
        <f>+AD65</f>
        <v>Alto</v>
      </c>
    </row>
    <row r="63" spans="2:65" ht="53.25" customHeight="1" x14ac:dyDescent="0.2">
      <c r="B63" s="141"/>
      <c r="C63" s="142"/>
      <c r="D63" s="142"/>
      <c r="E63" s="142"/>
      <c r="F63" s="142"/>
      <c r="G63" s="136"/>
      <c r="H63" s="142"/>
      <c r="I63" s="139"/>
      <c r="J63" s="138"/>
      <c r="K63" s="137"/>
      <c r="L63" s="138">
        <f>IF(NOT(ISERROR(MATCH(K63,_xlfn.ANCHORARRAY(G74),0))),J76&amp;"Por favor no seleccionar los criterios de impacto",K63)</f>
        <v>0</v>
      </c>
      <c r="M63" s="139"/>
      <c r="N63" s="138"/>
      <c r="O63" s="134"/>
      <c r="P63" s="106">
        <v>2</v>
      </c>
      <c r="Q63" s="115" t="s">
        <v>306</v>
      </c>
      <c r="R63" s="108" t="str">
        <f>IF(OR(S63="Preventivo",S63="Detectivo"),"Probabilidad",IF(S63="Correctivo","Impacto",""))</f>
        <v>Probabilidad</v>
      </c>
      <c r="S63" s="78" t="s">
        <v>146</v>
      </c>
      <c r="T63" s="78" t="s">
        <v>150</v>
      </c>
      <c r="U63" s="109" t="str">
        <f t="shared" si="67"/>
        <v>40%</v>
      </c>
      <c r="V63" s="78" t="s">
        <v>155</v>
      </c>
      <c r="W63" s="78" t="s">
        <v>159</v>
      </c>
      <c r="X63" s="78" t="s">
        <v>195</v>
      </c>
      <c r="Y63" s="110">
        <f>IFERROR(IF(R63="Probabilidad",(J63-(+J63*U63)),IF(R63="Impacto",J63,"")),"")</f>
        <v>0</v>
      </c>
      <c r="Z63" s="111" t="str">
        <f t="shared" si="78"/>
        <v>Rara vez</v>
      </c>
      <c r="AA63" s="109">
        <f t="shared" ref="AA63:AA67" si="81">+Y63</f>
        <v>0</v>
      </c>
      <c r="AB63" s="111" t="str">
        <f t="shared" si="79"/>
        <v>Catastrófico</v>
      </c>
      <c r="AC63" s="109">
        <f>IFERROR(IF(AND(R62="Impacto",R63="Impacto"),(AC62-(+AC62*U63)),IF(R63="Impacto",(N62-(+N62*U63)),IF(R63="Probabilidad",AC62,""))),"")</f>
        <v>1</v>
      </c>
      <c r="AD63" s="77" t="str">
        <f t="shared" si="80"/>
        <v>Extremo</v>
      </c>
      <c r="AE63" s="78"/>
      <c r="AF63" s="105"/>
      <c r="AG63" s="112"/>
      <c r="AH63" s="113"/>
      <c r="AI63" s="113"/>
      <c r="AJ63" s="105"/>
      <c r="AK63" s="112"/>
      <c r="AL63" s="136"/>
      <c r="AM63" s="136"/>
      <c r="AN63" s="134"/>
      <c r="AO63" s="393"/>
    </row>
    <row r="64" spans="2:65" ht="53.25" customHeight="1" x14ac:dyDescent="0.2">
      <c r="B64" s="141"/>
      <c r="C64" s="142"/>
      <c r="D64" s="142"/>
      <c r="E64" s="142"/>
      <c r="F64" s="142"/>
      <c r="G64" s="136"/>
      <c r="H64" s="142"/>
      <c r="I64" s="139"/>
      <c r="J64" s="138"/>
      <c r="K64" s="137"/>
      <c r="L64" s="138">
        <f>IF(NOT(ISERROR(MATCH(K64,_xlfn.ANCHORARRAY(G75),0))),J77&amp;"Por favor no seleccionar los criterios de impacto",K64)</f>
        <v>0</v>
      </c>
      <c r="M64" s="139"/>
      <c r="N64" s="138"/>
      <c r="O64" s="134"/>
      <c r="P64" s="106">
        <v>3</v>
      </c>
      <c r="Q64" s="115" t="s">
        <v>307</v>
      </c>
      <c r="R64" s="108" t="str">
        <f>IF(OR(S64="Preventivo",S64="Detectivo"),"Probabilidad",IF(S64="Correctivo","Impacto",""))</f>
        <v>Probabilidad</v>
      </c>
      <c r="S64" s="78" t="s">
        <v>146</v>
      </c>
      <c r="T64" s="78" t="s">
        <v>150</v>
      </c>
      <c r="U64" s="109" t="str">
        <f t="shared" si="67"/>
        <v>40%</v>
      </c>
      <c r="V64" s="78" t="s">
        <v>157</v>
      </c>
      <c r="W64" s="78" t="s">
        <v>159</v>
      </c>
      <c r="X64" s="78" t="s">
        <v>308</v>
      </c>
      <c r="Y64" s="110">
        <f>IFERROR(IF(R64="Probabilidad",(J64-(+J64*U64)),IF(R64="Impacto",J64,"")),"")</f>
        <v>0</v>
      </c>
      <c r="Z64" s="111" t="str">
        <f t="shared" si="78"/>
        <v>Rara vez</v>
      </c>
      <c r="AA64" s="109">
        <f t="shared" si="81"/>
        <v>0</v>
      </c>
      <c r="AB64" s="111" t="str">
        <f t="shared" si="79"/>
        <v>Catastrófico</v>
      </c>
      <c r="AC64" s="109">
        <f>IFERROR(IF(AND(R63="Impacto",R64="Impacto"),(AC63-(+AC63*U64)),IF(AND(R63="Probabilidad",R64="Impacto"),(AC62-(+AC62*U64)),IF(R64="Probabilidad",AC63,""))),"")</f>
        <v>1</v>
      </c>
      <c r="AD64" s="77" t="str">
        <f t="shared" si="80"/>
        <v>Extremo</v>
      </c>
      <c r="AE64" s="78"/>
      <c r="AF64" s="105"/>
      <c r="AG64" s="112"/>
      <c r="AH64" s="113"/>
      <c r="AI64" s="113"/>
      <c r="AJ64" s="105"/>
      <c r="AK64" s="112"/>
      <c r="AL64" s="136"/>
      <c r="AM64" s="136"/>
      <c r="AN64" s="134"/>
      <c r="AO64" s="393"/>
    </row>
    <row r="65" spans="2:41" ht="87.75" x14ac:dyDescent="0.2">
      <c r="B65" s="141"/>
      <c r="C65" s="142"/>
      <c r="D65" s="142"/>
      <c r="E65" s="142"/>
      <c r="F65" s="142"/>
      <c r="G65" s="136"/>
      <c r="H65" s="142"/>
      <c r="I65" s="139"/>
      <c r="J65" s="138"/>
      <c r="K65" s="137"/>
      <c r="L65" s="138">
        <f>IF(NOT(ISERROR(MATCH(K65,_xlfn.ANCHORARRAY(G76),0))),J78&amp;"Por favor no seleccionar los criterios de impacto",K65)</f>
        <v>0</v>
      </c>
      <c r="M65" s="139"/>
      <c r="N65" s="138"/>
      <c r="O65" s="134"/>
      <c r="P65" s="106">
        <v>4</v>
      </c>
      <c r="Q65" s="115" t="s">
        <v>309</v>
      </c>
      <c r="R65" s="108" t="str">
        <f t="shared" ref="R65:R67" si="82">IF(OR(S65="Preventivo",S65="Detectivo"),"Probabilidad",IF(S65="Correctivo","Impacto",""))</f>
        <v>Impacto</v>
      </c>
      <c r="S65" s="78" t="s">
        <v>148</v>
      </c>
      <c r="T65" s="78" t="s">
        <v>152</v>
      </c>
      <c r="U65" s="109" t="str">
        <f t="shared" si="67"/>
        <v>25%</v>
      </c>
      <c r="V65" s="78" t="s">
        <v>155</v>
      </c>
      <c r="W65" s="78" t="s">
        <v>159</v>
      </c>
      <c r="X65" s="78" t="s">
        <v>308</v>
      </c>
      <c r="Y65" s="110">
        <f>IFERROR(IF(R65="Probabilidad",(J65-(+J65*U65)),IF(R65="Impacto",J65,"")),"")</f>
        <v>0</v>
      </c>
      <c r="Z65" s="111" t="str">
        <f t="shared" si="78"/>
        <v>Rara vez</v>
      </c>
      <c r="AA65" s="109">
        <f t="shared" si="81"/>
        <v>0</v>
      </c>
      <c r="AB65" s="111" t="str">
        <f t="shared" si="79"/>
        <v>Mayor</v>
      </c>
      <c r="AC65" s="109">
        <f t="shared" ref="AC65:AC67" si="83">IFERROR(IF(AND(R64="Impacto",R65="Impacto"),(AC64-(+AC64*U65)),IF(AND(R64="Probabilidad",R65="Impacto"),(AC63-(+AC63*U65)),IF(R65="Probabilidad",AC64,""))),"")</f>
        <v>0.75</v>
      </c>
      <c r="AD65" s="77" t="str">
        <f t="shared" si="80"/>
        <v>Alto</v>
      </c>
      <c r="AE65" s="78" t="s">
        <v>173</v>
      </c>
      <c r="AF65" s="105" t="s">
        <v>310</v>
      </c>
      <c r="AG65" s="112" t="s">
        <v>311</v>
      </c>
      <c r="AH65" s="113">
        <v>45473</v>
      </c>
      <c r="AI65" s="113">
        <v>45504</v>
      </c>
      <c r="AJ65" s="105"/>
      <c r="AK65" s="112" t="s">
        <v>176</v>
      </c>
      <c r="AL65" s="136"/>
      <c r="AM65" s="136"/>
      <c r="AN65" s="134"/>
      <c r="AO65" s="393"/>
    </row>
    <row r="66" spans="2:41" x14ac:dyDescent="0.2">
      <c r="B66" s="141"/>
      <c r="C66" s="142"/>
      <c r="D66" s="142"/>
      <c r="E66" s="142"/>
      <c r="F66" s="142"/>
      <c r="G66" s="136"/>
      <c r="H66" s="142"/>
      <c r="I66" s="139"/>
      <c r="J66" s="138"/>
      <c r="K66" s="137"/>
      <c r="L66" s="138">
        <f>IF(NOT(ISERROR(MATCH(K66,_xlfn.ANCHORARRAY(G77),0))),J79&amp;"Por favor no seleccionar los criterios de impacto",K66)</f>
        <v>0</v>
      </c>
      <c r="M66" s="139"/>
      <c r="N66" s="138"/>
      <c r="O66" s="134"/>
      <c r="P66" s="106">
        <v>5</v>
      </c>
      <c r="Q66" s="115"/>
      <c r="R66" s="108" t="str">
        <f t="shared" si="82"/>
        <v/>
      </c>
      <c r="S66" s="78"/>
      <c r="T66" s="78"/>
      <c r="U66" s="109" t="str">
        <f t="shared" si="67"/>
        <v/>
      </c>
      <c r="V66" s="78"/>
      <c r="W66" s="78"/>
      <c r="X66" s="78"/>
      <c r="Y66" s="110" t="str">
        <f>IFERROR(IF(R66="Probabilidad",(J66-(+J66*U66)),IF(R66="Impacto",J66,"")),"")</f>
        <v/>
      </c>
      <c r="Z66" s="111" t="str">
        <f t="shared" si="78"/>
        <v/>
      </c>
      <c r="AA66" s="109" t="str">
        <f t="shared" si="81"/>
        <v/>
      </c>
      <c r="AB66" s="111" t="str">
        <f t="shared" si="79"/>
        <v/>
      </c>
      <c r="AC66" s="109" t="str">
        <f t="shared" si="83"/>
        <v/>
      </c>
      <c r="AD66" s="77" t="str">
        <f t="shared" si="80"/>
        <v/>
      </c>
      <c r="AE66" s="78"/>
      <c r="AF66" s="105"/>
      <c r="AG66" s="112"/>
      <c r="AH66" s="113"/>
      <c r="AI66" s="113"/>
      <c r="AJ66" s="105"/>
      <c r="AK66" s="112"/>
      <c r="AL66" s="136"/>
      <c r="AM66" s="136"/>
      <c r="AN66" s="134"/>
      <c r="AO66" s="393"/>
    </row>
    <row r="67" spans="2:41" x14ac:dyDescent="0.2">
      <c r="B67" s="141"/>
      <c r="C67" s="142"/>
      <c r="D67" s="142"/>
      <c r="E67" s="142"/>
      <c r="F67" s="142"/>
      <c r="G67" s="136"/>
      <c r="H67" s="142"/>
      <c r="I67" s="139"/>
      <c r="J67" s="138"/>
      <c r="K67" s="137"/>
      <c r="L67" s="138">
        <f>IF(NOT(ISERROR(MATCH(K67,_xlfn.ANCHORARRAY(G78),0))),J80&amp;"Por favor no seleccionar los criterios de impacto",K67)</f>
        <v>0</v>
      </c>
      <c r="M67" s="139"/>
      <c r="N67" s="138"/>
      <c r="O67" s="134"/>
      <c r="P67" s="106">
        <v>6</v>
      </c>
      <c r="Q67" s="115"/>
      <c r="R67" s="108" t="str">
        <f t="shared" si="82"/>
        <v/>
      </c>
      <c r="S67" s="78"/>
      <c r="T67" s="78"/>
      <c r="U67" s="109" t="str">
        <f t="shared" si="67"/>
        <v/>
      </c>
      <c r="V67" s="78"/>
      <c r="W67" s="78"/>
      <c r="X67" s="78"/>
      <c r="Y67" s="110" t="str">
        <f t="shared" ref="Y67" si="84">IFERROR(IF(AND(R66="Probabilidad",R67="Probabilidad"),(AA66-(+AA66*U67)),IF(AND(R66="Impacto",R67="Probabilidad"),(AA65-(+AA65*U67)),IF(R67="Impacto",AA66,""))),"")</f>
        <v/>
      </c>
      <c r="Z67" s="111" t="str">
        <f t="shared" si="78"/>
        <v/>
      </c>
      <c r="AA67" s="109" t="str">
        <f t="shared" si="81"/>
        <v/>
      </c>
      <c r="AB67" s="111" t="str">
        <f t="shared" si="79"/>
        <v/>
      </c>
      <c r="AC67" s="109" t="str">
        <f t="shared" si="83"/>
        <v/>
      </c>
      <c r="AD67" s="77" t="str">
        <f t="shared" si="80"/>
        <v/>
      </c>
      <c r="AE67" s="78"/>
      <c r="AF67" s="105"/>
      <c r="AG67" s="112"/>
      <c r="AH67" s="113"/>
      <c r="AI67" s="113"/>
      <c r="AJ67" s="105"/>
      <c r="AK67" s="112"/>
      <c r="AL67" s="136"/>
      <c r="AM67" s="136"/>
      <c r="AN67" s="134"/>
      <c r="AO67" s="393"/>
    </row>
    <row r="68" spans="2:41" ht="53.25" customHeight="1" x14ac:dyDescent="0.2">
      <c r="B68" s="141" t="s">
        <v>312</v>
      </c>
      <c r="C68" s="142" t="s">
        <v>187</v>
      </c>
      <c r="D68" s="142" t="s">
        <v>313</v>
      </c>
      <c r="E68" s="142" t="s">
        <v>231</v>
      </c>
      <c r="F68" s="142" t="s">
        <v>262</v>
      </c>
      <c r="G68" s="136" t="s">
        <v>304</v>
      </c>
      <c r="H68" s="142" t="s">
        <v>61</v>
      </c>
      <c r="I68" s="139" t="str">
        <f t="shared" ref="I68" si="85">IF(H68&lt;=0,"",IF(H68="No se ha presentado en los últimos 5 años","Rara vez",IF(H68="Al menos 1 vez en los últimos 5 años","Improbable",IF(H68="Al menos 1 vez en los últimos 2 años","Posible",IF(H68="Al menos 1 vez en el último año","Probable",IF(H68="Más de 1 vez al año","Casi Seguro"))))))</f>
        <v>Rara vez</v>
      </c>
      <c r="J68" s="138">
        <f t="shared" ref="J68" si="86">IF(I68="","",IF(I68="Rara vez",0.2,IF(I68="Improbable",0.4,IF(I68="Posible",0.6,IF(I68="Probable",0.8,IF(I68="Casi Seguro",1,))))))</f>
        <v>0.2</v>
      </c>
      <c r="K68" s="137" t="s">
        <v>82</v>
      </c>
      <c r="L68" s="138" t="str">
        <f>IF(NOT(ISERROR(MATCH(K68,'[7]Tabla Impacto'!$B$220:$B$222,0))),'[7]Tabla Impacto'!$F$222&amp;"Por favor no seleccionar los criterios de impacto(Afectación Económica o presupuestal y Pérdida Reputacional)",K68)</f>
        <v xml:space="preserve">Responder afirmativamente de DOCE a DIECINUEVE </v>
      </c>
      <c r="M68" s="139" t="str">
        <f>IF(OR(L68='[7]Tabla Impacto'!$C$5),"Moderado",IF(OR(L68='[7]Tabla Impacto'!$C$6),"Mayor",IF(OR(L68='[7]Tabla Impacto'!$C$7),"Catastrófico","")))</f>
        <v>Catastrófico</v>
      </c>
      <c r="N68" s="138">
        <f>IF(M68="","",IF(M68="Leve",0.2,IF(M68="Menor",0.4,IF(M68="Moderado",0.6,IF(M68="Mayor",0.8,IF(M68="Catastrófico",1,))))))</f>
        <v>1</v>
      </c>
      <c r="O68" s="134" t="str">
        <f t="shared" ref="O68" si="87">IF(OR(AND(I68="Rara vez",M68="Leve"),AND(I68="Rara vez",M68="Menor"),AND(I68="Improbable",M68="Leve")),"Bajo",IF(OR(AND(I68="Rara vez",M68="Moderado"),AND(I68="Improbable",M68="Menor"),AND(I68="Improbable",M68="Moderado"),AND(I68="Posible",M68="Leve"),AND(I68="Posible",M68="Menor"),AND(I68="Posible",M68="Moderado"),AND(I68="Probable",M68="Leve"),AND(I68="Probable",M68="Menor")),"Moderado",IF(OR(AND(I68="Rara vez",M68="Mayor"),AND(I68="Improbable",M68="Mayor"),AND(I68="Posible",M68="Mayor"),AND(I68="Probable",M68="Moderado"),AND(I68="Probable",M68="Mayor"),AND(I68="Casi Seguro",M68="Leve"),AND(I68="Casi Seguro",M68="Menor"),AND(I68="Casi Seguro",M68="Moderado"),AND(I68="Casi Seguro",M68="Mayor")),"Alto",IF(OR(AND(I68="Rara vez",M68="Catastrófico"),AND(I68="Improbable",M68="Catastrófico"),AND(I68="Posible",M68="Catastrófico"),AND(I68="Probable",M68="Catastrófico"),AND(I68="Casi Seguro",M68="Catastrófico")),"Extremo",""))))</f>
        <v>Extremo</v>
      </c>
      <c r="P68" s="106">
        <v>1</v>
      </c>
      <c r="Q68" s="115" t="s">
        <v>314</v>
      </c>
      <c r="R68" s="108" t="str">
        <f>IF(OR(S68="Preventivo",S68="Detectivo"),"Probabilidad",IF(S68="Correctivo","Impacto",""))</f>
        <v>Probabilidad</v>
      </c>
      <c r="S68" s="78" t="s">
        <v>144</v>
      </c>
      <c r="T68" s="78" t="s">
        <v>152</v>
      </c>
      <c r="U68" s="109" t="str">
        <f>IF(AND(S68="Preventivo",T68="Automático"),"50%",IF(AND(S68="Preventivo",T68="Manual"),"40%",IF(AND(S68="Detectivo",T68="Automático"),"40%",IF(AND(S68="Detectivo",T68="Manual"),"30%",IF(AND(S68="Correctivo",T68="Automático"),"35%",IF(AND(S68="Correctivo",T68="Manual"),"25%",""))))))</f>
        <v>40%</v>
      </c>
      <c r="V68" s="78" t="s">
        <v>157</v>
      </c>
      <c r="W68" s="78" t="s">
        <v>159</v>
      </c>
      <c r="X68" s="78" t="s">
        <v>195</v>
      </c>
      <c r="Y68" s="110">
        <f>IFERROR(IF(R68="Probabilidad",(J68-(+J68*U68)),IF(R68="Impacto",J68,"")),"")</f>
        <v>0.12</v>
      </c>
      <c r="Z68" s="111" t="str">
        <f t="shared" si="78"/>
        <v>Rara vez</v>
      </c>
      <c r="AA68" s="109">
        <f>+Y68</f>
        <v>0.12</v>
      </c>
      <c r="AB68" s="111" t="str">
        <f t="shared" si="79"/>
        <v>Catastrófico</v>
      </c>
      <c r="AC68" s="109">
        <f>IFERROR(IF(R68="Impacto",(N68-(+N68*U68)),IF(R68="Probabilidad",N68,"")),"")</f>
        <v>1</v>
      </c>
      <c r="AD68" s="77" t="str">
        <f t="shared" si="80"/>
        <v>Extremo</v>
      </c>
      <c r="AE68" s="78"/>
      <c r="AF68" s="105"/>
      <c r="AG68" s="112"/>
      <c r="AH68" s="113"/>
      <c r="AI68" s="113"/>
      <c r="AJ68" s="105"/>
      <c r="AK68" s="112"/>
      <c r="AL68" s="135">
        <v>45405</v>
      </c>
      <c r="AM68" s="135" t="s">
        <v>222</v>
      </c>
      <c r="AN68" s="134" t="str">
        <f>+O68</f>
        <v>Extremo</v>
      </c>
      <c r="AO68" s="393" t="str">
        <f>AD71</f>
        <v>Alto</v>
      </c>
    </row>
    <row r="69" spans="2:41" ht="53.25" customHeight="1" x14ac:dyDescent="0.2">
      <c r="B69" s="141"/>
      <c r="C69" s="142"/>
      <c r="D69" s="142"/>
      <c r="E69" s="142"/>
      <c r="F69" s="142"/>
      <c r="G69" s="136"/>
      <c r="H69" s="142"/>
      <c r="I69" s="139"/>
      <c r="J69" s="138"/>
      <c r="K69" s="137"/>
      <c r="L69" s="138">
        <f>IF(NOT(ISERROR(MATCH(K69,_xlfn.ANCHORARRAY(G80),0))),J82&amp;"Por favor no seleccionar los criterios de impacto",K69)</f>
        <v>0</v>
      </c>
      <c r="M69" s="139"/>
      <c r="N69" s="138"/>
      <c r="O69" s="134"/>
      <c r="P69" s="106">
        <v>2</v>
      </c>
      <c r="Q69" s="115" t="s">
        <v>315</v>
      </c>
      <c r="R69" s="108" t="str">
        <f>IF(OR(S69="Preventivo",S69="Detectivo"),"Probabilidad",IF(S69="Correctivo","Impacto",""))</f>
        <v>Probabilidad</v>
      </c>
      <c r="S69" s="78" t="s">
        <v>144</v>
      </c>
      <c r="T69" s="78" t="s">
        <v>152</v>
      </c>
      <c r="U69" s="109" t="str">
        <f t="shared" ref="U69:U73" si="88">IF(AND(S69="Preventivo",T69="Automático"),"50%",IF(AND(S69="Preventivo",T69="Manual"),"40%",IF(AND(S69="Detectivo",T69="Automático"),"40%",IF(AND(S69="Detectivo",T69="Manual"),"30%",IF(AND(S69="Correctivo",T69="Automático"),"35%",IF(AND(S69="Correctivo",T69="Manual"),"25%",""))))))</f>
        <v>40%</v>
      </c>
      <c r="V69" s="78" t="s">
        <v>155</v>
      </c>
      <c r="W69" s="78" t="s">
        <v>159</v>
      </c>
      <c r="X69" s="78" t="s">
        <v>195</v>
      </c>
      <c r="Y69" s="119">
        <f>IFERROR(IF(AND(R68="Probabilidad",R69="Probabilidad"),(AA68-(+AA68*U69)),IF(R69="Probabilidad",(J68-(+J68*U69)),IF(R69="Impacto",AA68,""))),"")</f>
        <v>7.1999999999999995E-2</v>
      </c>
      <c r="Z69" s="111" t="str">
        <f t="shared" si="78"/>
        <v>Rara vez</v>
      </c>
      <c r="AA69" s="109">
        <f t="shared" ref="AA69:AA73" si="89">+Y69</f>
        <v>7.1999999999999995E-2</v>
      </c>
      <c r="AB69" s="111" t="str">
        <f t="shared" si="79"/>
        <v>Catastrófico</v>
      </c>
      <c r="AC69" s="109">
        <f>IFERROR(IF(AND(R68="Impacto",R69="Impacto"),(AC68-(+AC68*U69)),IF(R69="Impacto",(N68-(+N68*U69)),IF(R69="Probabilidad",AC68,""))),"")</f>
        <v>1</v>
      </c>
      <c r="AD69" s="77" t="str">
        <f t="shared" si="80"/>
        <v>Extremo</v>
      </c>
      <c r="AE69" s="78"/>
      <c r="AF69" s="105"/>
      <c r="AG69" s="112"/>
      <c r="AH69" s="113"/>
      <c r="AI69" s="113"/>
      <c r="AJ69" s="105"/>
      <c r="AK69" s="112"/>
      <c r="AL69" s="136"/>
      <c r="AM69" s="136"/>
      <c r="AN69" s="134"/>
      <c r="AO69" s="393"/>
    </row>
    <row r="70" spans="2:41" ht="53.25" customHeight="1" x14ac:dyDescent="0.2">
      <c r="B70" s="141"/>
      <c r="C70" s="142"/>
      <c r="D70" s="142"/>
      <c r="E70" s="142"/>
      <c r="F70" s="142"/>
      <c r="G70" s="136"/>
      <c r="H70" s="142"/>
      <c r="I70" s="139"/>
      <c r="J70" s="138"/>
      <c r="K70" s="137"/>
      <c r="L70" s="138">
        <f>IF(NOT(ISERROR(MATCH(K70,_xlfn.ANCHORARRAY(G81),0))),J83&amp;"Por favor no seleccionar los criterios de impacto",K70)</f>
        <v>0</v>
      </c>
      <c r="M70" s="139"/>
      <c r="N70" s="138"/>
      <c r="O70" s="134"/>
      <c r="P70" s="106">
        <v>3</v>
      </c>
      <c r="Q70" s="115" t="s">
        <v>316</v>
      </c>
      <c r="R70" s="108" t="str">
        <f>IF(OR(S70="Preventivo",S70="Detectivo"),"Probabilidad",IF(S70="Correctivo","Impacto",""))</f>
        <v>Probabilidad</v>
      </c>
      <c r="S70" s="78" t="s">
        <v>144</v>
      </c>
      <c r="T70" s="78" t="s">
        <v>152</v>
      </c>
      <c r="U70" s="109" t="str">
        <f t="shared" si="88"/>
        <v>40%</v>
      </c>
      <c r="V70" s="78" t="s">
        <v>155</v>
      </c>
      <c r="W70" s="78" t="s">
        <v>159</v>
      </c>
      <c r="X70" s="78" t="s">
        <v>308</v>
      </c>
      <c r="Y70" s="110">
        <f>IFERROR(IF(AND(R69="Probabilidad",R70="Probabilidad"),(AA69-(+AA69*U70)),IF(AND(R69="Impacto",R70="Probabilidad"),(AA68-(+AA68*U70)),IF(R70="Impacto",AA69,""))),"")</f>
        <v>4.3199999999999995E-2</v>
      </c>
      <c r="Z70" s="111" t="str">
        <f t="shared" si="78"/>
        <v>Rara vez</v>
      </c>
      <c r="AA70" s="109">
        <f t="shared" si="89"/>
        <v>4.3199999999999995E-2</v>
      </c>
      <c r="AB70" s="111" t="str">
        <f t="shared" si="79"/>
        <v>Catastrófico</v>
      </c>
      <c r="AC70" s="109">
        <f>IFERROR(IF(AND(R69="Impacto",R70="Impacto"),(AC69-(+AC69*U70)),IF(AND(R69="Probabilidad",R70="Impacto"),(AC68-(+AC68*U70)),IF(R70="Probabilidad",AC69,""))),"")</f>
        <v>1</v>
      </c>
      <c r="AD70" s="77" t="str">
        <f t="shared" si="80"/>
        <v>Extremo</v>
      </c>
      <c r="AE70" s="78"/>
      <c r="AF70" s="105"/>
      <c r="AG70" s="112"/>
      <c r="AH70" s="113"/>
      <c r="AI70" s="113"/>
      <c r="AJ70" s="105"/>
      <c r="AK70" s="112"/>
      <c r="AL70" s="136"/>
      <c r="AM70" s="136"/>
      <c r="AN70" s="134"/>
      <c r="AO70" s="393"/>
    </row>
    <row r="71" spans="2:41" ht="102" customHeight="1" x14ac:dyDescent="0.2">
      <c r="B71" s="141"/>
      <c r="C71" s="142"/>
      <c r="D71" s="142"/>
      <c r="E71" s="142"/>
      <c r="F71" s="142"/>
      <c r="G71" s="136"/>
      <c r="H71" s="142"/>
      <c r="I71" s="139"/>
      <c r="J71" s="138"/>
      <c r="K71" s="137"/>
      <c r="L71" s="138">
        <f>IF(NOT(ISERROR(MATCH(K71,_xlfn.ANCHORARRAY(G82),0))),J84&amp;"Por favor no seleccionar los criterios de impacto",K71)</f>
        <v>0</v>
      </c>
      <c r="M71" s="139"/>
      <c r="N71" s="138"/>
      <c r="O71" s="134"/>
      <c r="P71" s="106">
        <v>4</v>
      </c>
      <c r="Q71" s="115" t="s">
        <v>317</v>
      </c>
      <c r="R71" s="108" t="str">
        <f t="shared" ref="R71:R73" si="90">IF(OR(S71="Preventivo",S71="Detectivo"),"Probabilidad",IF(S71="Correctivo","Impacto",""))</f>
        <v>Impacto</v>
      </c>
      <c r="S71" s="78" t="s">
        <v>148</v>
      </c>
      <c r="T71" s="78" t="s">
        <v>152</v>
      </c>
      <c r="U71" s="109" t="str">
        <f t="shared" si="88"/>
        <v>25%</v>
      </c>
      <c r="V71" s="78" t="s">
        <v>155</v>
      </c>
      <c r="W71" s="78" t="s">
        <v>159</v>
      </c>
      <c r="X71" s="78" t="s">
        <v>308</v>
      </c>
      <c r="Y71" s="110">
        <f t="shared" ref="Y71:Y73" si="91">IFERROR(IF(AND(R70="Probabilidad",R71="Probabilidad"),(AA70-(+AA70*U71)),IF(AND(R70="Impacto",R71="Probabilidad"),(AA69-(+AA69*U71)),IF(R71="Impacto",AA70,""))),"")</f>
        <v>4.3199999999999995E-2</v>
      </c>
      <c r="Z71" s="111" t="str">
        <f t="shared" si="78"/>
        <v>Rara vez</v>
      </c>
      <c r="AA71" s="109">
        <f t="shared" si="89"/>
        <v>4.3199999999999995E-2</v>
      </c>
      <c r="AB71" s="111" t="str">
        <f t="shared" si="79"/>
        <v>Mayor</v>
      </c>
      <c r="AC71" s="109">
        <f t="shared" ref="AC71:AC73" si="92">IFERROR(IF(AND(R70="Impacto",R71="Impacto"),(AC70-(+AC70*U71)),IF(AND(R70="Probabilidad",R71="Impacto"),(AC69-(+AC69*U71)),IF(R71="Probabilidad",AC70,""))),"")</f>
        <v>0.75</v>
      </c>
      <c r="AD71" s="77" t="str">
        <f t="shared" si="80"/>
        <v>Alto</v>
      </c>
      <c r="AE71" s="78" t="s">
        <v>173</v>
      </c>
      <c r="AF71" s="377" t="s">
        <v>318</v>
      </c>
      <c r="AG71" s="377" t="s">
        <v>319</v>
      </c>
      <c r="AH71" s="378">
        <v>45596</v>
      </c>
      <c r="AI71" s="378">
        <v>45322</v>
      </c>
      <c r="AJ71" s="105"/>
      <c r="AK71" s="112" t="s">
        <v>176</v>
      </c>
      <c r="AL71" s="136"/>
      <c r="AM71" s="136"/>
      <c r="AN71" s="134"/>
      <c r="AO71" s="393"/>
    </row>
    <row r="72" spans="2:41" x14ac:dyDescent="0.2">
      <c r="B72" s="141"/>
      <c r="C72" s="142"/>
      <c r="D72" s="142"/>
      <c r="E72" s="142"/>
      <c r="F72" s="142"/>
      <c r="G72" s="136"/>
      <c r="H72" s="142"/>
      <c r="I72" s="139"/>
      <c r="J72" s="138"/>
      <c r="K72" s="137"/>
      <c r="L72" s="138">
        <f>IF(NOT(ISERROR(MATCH(K72,_xlfn.ANCHORARRAY(G83),0))),J85&amp;"Por favor no seleccionar los criterios de impacto",K72)</f>
        <v>0</v>
      </c>
      <c r="M72" s="139"/>
      <c r="N72" s="138"/>
      <c r="O72" s="134"/>
      <c r="P72" s="106">
        <v>5</v>
      </c>
      <c r="Q72" s="115"/>
      <c r="R72" s="108" t="str">
        <f t="shared" si="90"/>
        <v/>
      </c>
      <c r="S72" s="78"/>
      <c r="T72" s="78"/>
      <c r="U72" s="109" t="str">
        <f t="shared" si="88"/>
        <v/>
      </c>
      <c r="V72" s="78"/>
      <c r="W72" s="78"/>
      <c r="X72" s="78"/>
      <c r="Y72" s="110" t="str">
        <f t="shared" si="91"/>
        <v/>
      </c>
      <c r="Z72" s="111" t="str">
        <f t="shared" si="78"/>
        <v/>
      </c>
      <c r="AA72" s="109" t="str">
        <f t="shared" si="89"/>
        <v/>
      </c>
      <c r="AB72" s="111" t="str">
        <f t="shared" si="79"/>
        <v/>
      </c>
      <c r="AC72" s="109" t="str">
        <f t="shared" si="92"/>
        <v/>
      </c>
      <c r="AD72" s="77" t="str">
        <f t="shared" si="80"/>
        <v/>
      </c>
      <c r="AE72" s="78"/>
      <c r="AF72" s="105"/>
      <c r="AG72" s="112"/>
      <c r="AH72" s="113"/>
      <c r="AI72" s="113"/>
      <c r="AJ72" s="105"/>
      <c r="AK72" s="112"/>
      <c r="AL72" s="136"/>
      <c r="AM72" s="136"/>
      <c r="AN72" s="134"/>
      <c r="AO72" s="393"/>
    </row>
    <row r="73" spans="2:41" x14ac:dyDescent="0.2">
      <c r="B73" s="141"/>
      <c r="C73" s="142"/>
      <c r="D73" s="142"/>
      <c r="E73" s="142"/>
      <c r="F73" s="142"/>
      <c r="G73" s="136"/>
      <c r="H73" s="142"/>
      <c r="I73" s="139"/>
      <c r="J73" s="138"/>
      <c r="K73" s="137"/>
      <c r="L73" s="138">
        <f>IF(NOT(ISERROR(MATCH(K73,_xlfn.ANCHORARRAY(G84),0))),J86&amp;"Por favor no seleccionar los criterios de impacto",K73)</f>
        <v>0</v>
      </c>
      <c r="M73" s="139"/>
      <c r="N73" s="138"/>
      <c r="O73" s="134"/>
      <c r="P73" s="106">
        <v>6</v>
      </c>
      <c r="Q73" s="115"/>
      <c r="R73" s="108" t="str">
        <f t="shared" si="90"/>
        <v/>
      </c>
      <c r="S73" s="78"/>
      <c r="T73" s="78"/>
      <c r="U73" s="109" t="str">
        <f t="shared" si="88"/>
        <v/>
      </c>
      <c r="V73" s="78"/>
      <c r="W73" s="78"/>
      <c r="X73" s="78"/>
      <c r="Y73" s="110" t="str">
        <f t="shared" si="91"/>
        <v/>
      </c>
      <c r="Z73" s="111" t="str">
        <f t="shared" si="78"/>
        <v/>
      </c>
      <c r="AA73" s="109" t="str">
        <f t="shared" si="89"/>
        <v/>
      </c>
      <c r="AB73" s="111" t="str">
        <f t="shared" si="79"/>
        <v/>
      </c>
      <c r="AC73" s="109" t="str">
        <f t="shared" si="92"/>
        <v/>
      </c>
      <c r="AD73" s="77" t="str">
        <f t="shared" si="80"/>
        <v/>
      </c>
      <c r="AE73" s="78"/>
      <c r="AF73" s="105"/>
      <c r="AG73" s="112"/>
      <c r="AH73" s="113"/>
      <c r="AI73" s="113"/>
      <c r="AJ73" s="105"/>
      <c r="AK73" s="112"/>
      <c r="AL73" s="136"/>
      <c r="AM73" s="136"/>
      <c r="AN73" s="134"/>
      <c r="AO73" s="393"/>
    </row>
    <row r="74" spans="2:41" ht="53.25" customHeight="1" x14ac:dyDescent="0.2">
      <c r="B74" s="141" t="s">
        <v>320</v>
      </c>
      <c r="C74" s="142" t="s">
        <v>187</v>
      </c>
      <c r="D74" s="142" t="s">
        <v>321</v>
      </c>
      <c r="E74" s="142" t="s">
        <v>231</v>
      </c>
      <c r="F74" s="142" t="s">
        <v>262</v>
      </c>
      <c r="G74" s="136" t="s">
        <v>304</v>
      </c>
      <c r="H74" s="142" t="s">
        <v>69</v>
      </c>
      <c r="I74" s="139" t="str">
        <f t="shared" ref="I74" si="93">IF(H74&lt;=0,"",IF(H74="No se ha presentado en los últimos 5 años","Rara vez",IF(H74="Al menos 1 vez en los últimos 5 años","Improbable",IF(H74="Al menos 1 vez en los últimos 2 años","Posible",IF(H74="Al menos 1 vez en el último año","Probable",IF(H74="Más de 1 vez al año","Casi Seguro"))))))</f>
        <v>Probable</v>
      </c>
      <c r="J74" s="138">
        <f t="shared" ref="J74" si="94">IF(I74="","",IF(I74="Rara vez",0.2,IF(I74="Improbable",0.4,IF(I74="Posible",0.6,IF(I74="Probable",0.8,IF(I74="Casi Seguro",1,))))))</f>
        <v>0.8</v>
      </c>
      <c r="K74" s="137" t="s">
        <v>76</v>
      </c>
      <c r="L74" s="138" t="str">
        <f>IF(NOT(ISERROR(MATCH(K74,'[7]Tabla Impacto'!$B$220:$B$222,0))),'[7]Tabla Impacto'!$F$222&amp;"Por favor no seleccionar los criterios de impacto(Afectación Económica o presupuestal y Pérdida Reputacional)",K74)</f>
        <v>Responder afirmativamente de SEIS a ONCE</v>
      </c>
      <c r="M74" s="139" t="str">
        <f>IF(OR(L74='[7]Tabla Impacto'!$C$5),"Moderado",IF(OR(L74='[7]Tabla Impacto'!$C$6),"Mayor",IF(OR(L74='[7]Tabla Impacto'!$C$7),"Catastrófico","")))</f>
        <v>Mayor</v>
      </c>
      <c r="N74" s="138">
        <f>IF(M74="","",IF(M74="Leve",0.2,IF(M74="Menor",0.4,IF(M74="Moderado",0.6,IF(M74="Mayor",0.8,IF(M74="Catastrófico",1,))))))</f>
        <v>0.8</v>
      </c>
      <c r="O74" s="134" t="str">
        <f t="shared" ref="O74" si="95">IF(OR(AND(I74="Rara vez",M74="Leve"),AND(I74="Rara vez",M74="Menor"),AND(I74="Improbable",M74="Leve")),"Bajo",IF(OR(AND(I74="Rara vez",M74="Moderado"),AND(I74="Improbable",M74="Menor"),AND(I74="Improbable",M74="Moderado"),AND(I74="Posible",M74="Leve"),AND(I74="Posible",M74="Menor"),AND(I74="Posible",M74="Moderado"),AND(I74="Probable",M74="Leve"),AND(I74="Probable",M74="Menor")),"Moderado",IF(OR(AND(I74="Rara vez",M74="Mayor"),AND(I74="Improbable",M74="Mayor"),AND(I74="Posible",M74="Mayor"),AND(I74="Probable",M74="Moderado"),AND(I74="Probable",M74="Mayor"),AND(I74="Casi Seguro",M74="Leve"),AND(I74="Casi Seguro",M74="Menor"),AND(I74="Casi Seguro",M74="Moderado"),AND(I74="Casi Seguro",M74="Mayor")),"Alto",IF(OR(AND(I74="Rara vez",M74="Catastrófico"),AND(I74="Improbable",M74="Catastrófico"),AND(I74="Posible",M74="Catastrófico"),AND(I74="Probable",M74="Catastrófico"),AND(I74="Casi Seguro",M74="Catastrófico")),"Extremo",""))))</f>
        <v>Alto</v>
      </c>
      <c r="P74" s="106">
        <v>1</v>
      </c>
      <c r="Q74" s="115" t="s">
        <v>322</v>
      </c>
      <c r="R74" s="108" t="str">
        <f>IF(OR(S74="Preventivo",S74="Detectivo"),"Probabilidad",IF(S74="Correctivo","Impacto",""))</f>
        <v>Probabilidad</v>
      </c>
      <c r="S74" s="78" t="s">
        <v>144</v>
      </c>
      <c r="T74" s="78" t="s">
        <v>152</v>
      </c>
      <c r="U74" s="109" t="str">
        <f>IF(AND(S74="Preventivo",T74="Automático"),"50%",IF(AND(S74="Preventivo",T74="Manual"),"40%",IF(AND(S74="Detectivo",T74="Automático"),"40%",IF(AND(S74="Detectivo",T74="Manual"),"30%",IF(AND(S74="Correctivo",T74="Automático"),"35%",IF(AND(S74="Correctivo",T74="Manual"),"25%",""))))))</f>
        <v>40%</v>
      </c>
      <c r="V74" s="78" t="s">
        <v>155</v>
      </c>
      <c r="W74" s="78" t="s">
        <v>159</v>
      </c>
      <c r="X74" s="78" t="s">
        <v>308</v>
      </c>
      <c r="Y74" s="110">
        <f>IFERROR(IF(R74="Probabilidad",(J74-(+J74*U74)),IF(R74="Impacto",J74,"")),"")</f>
        <v>0.48</v>
      </c>
      <c r="Z74" s="111" t="str">
        <f t="shared" si="78"/>
        <v>Posible</v>
      </c>
      <c r="AA74" s="109">
        <f>+Y74</f>
        <v>0.48</v>
      </c>
      <c r="AB74" s="111" t="str">
        <f t="shared" si="79"/>
        <v>Mayor</v>
      </c>
      <c r="AC74" s="109">
        <f>IFERROR(IF(R74="Impacto",(N74-(+N74*U74)),IF(R74="Probabilidad",N74,"")),"")</f>
        <v>0.8</v>
      </c>
      <c r="AD74" s="77" t="str">
        <f t="shared" si="80"/>
        <v>Alto</v>
      </c>
      <c r="AE74" s="78"/>
      <c r="AF74" s="105"/>
      <c r="AG74" s="105"/>
      <c r="AH74" s="113"/>
      <c r="AI74" s="113"/>
      <c r="AJ74" s="105"/>
      <c r="AK74" s="112"/>
      <c r="AL74" s="135">
        <v>45421</v>
      </c>
      <c r="AM74" s="135" t="s">
        <v>222</v>
      </c>
      <c r="AN74" s="134" t="str">
        <f>+O74</f>
        <v>Alto</v>
      </c>
      <c r="AO74" s="393" t="str">
        <f>+AD76</f>
        <v>Moderado</v>
      </c>
    </row>
    <row r="75" spans="2:41" ht="53.25" customHeight="1" x14ac:dyDescent="0.2">
      <c r="B75" s="141"/>
      <c r="C75" s="142"/>
      <c r="D75" s="142"/>
      <c r="E75" s="142"/>
      <c r="F75" s="142"/>
      <c r="G75" s="136"/>
      <c r="H75" s="142"/>
      <c r="I75" s="139"/>
      <c r="J75" s="138"/>
      <c r="K75" s="137"/>
      <c r="L75" s="138">
        <f>IF(NOT(ISERROR(MATCH(K75,_xlfn.ANCHORARRAY(G86),0))),J88&amp;"Por favor no seleccionar los criterios de impacto",K75)</f>
        <v>0</v>
      </c>
      <c r="M75" s="139"/>
      <c r="N75" s="138"/>
      <c r="O75" s="134"/>
      <c r="P75" s="106">
        <v>2</v>
      </c>
      <c r="Q75" s="115" t="s">
        <v>323</v>
      </c>
      <c r="R75" s="108" t="str">
        <f>IF(OR(S75="Preventivo",S75="Detectivo"),"Probabilidad",IF(S75="Correctivo","Impacto",""))</f>
        <v>Probabilidad</v>
      </c>
      <c r="S75" s="78" t="s">
        <v>146</v>
      </c>
      <c r="T75" s="78" t="s">
        <v>152</v>
      </c>
      <c r="U75" s="109" t="str">
        <f t="shared" ref="U75:U79" si="96">IF(AND(S75="Preventivo",T75="Automático"),"50%",IF(AND(S75="Preventivo",T75="Manual"),"40%",IF(AND(S75="Detectivo",T75="Automático"),"40%",IF(AND(S75="Detectivo",T75="Manual"),"30%",IF(AND(S75="Correctivo",T75="Automático"),"35%",IF(AND(S75="Correctivo",T75="Manual"),"25%",""))))))</f>
        <v>30%</v>
      </c>
      <c r="V75" s="78" t="s">
        <v>155</v>
      </c>
      <c r="W75" s="78" t="s">
        <v>159</v>
      </c>
      <c r="X75" s="78" t="s">
        <v>195</v>
      </c>
      <c r="Y75" s="110">
        <f>IFERROR(IF(AND(R74="Probabilidad",R75="Probabilidad"),(AA74-(+AA74*U75)),IF(R75="Probabilidad",(J74-(+J74*U75)),IF(R75="Impacto",AA74,""))),"")</f>
        <v>0.33599999999999997</v>
      </c>
      <c r="Z75" s="111" t="str">
        <f t="shared" si="78"/>
        <v>Improbable</v>
      </c>
      <c r="AA75" s="109">
        <f t="shared" ref="AA75:AA79" si="97">+Y75</f>
        <v>0.33599999999999997</v>
      </c>
      <c r="AB75" s="111" t="str">
        <f t="shared" si="79"/>
        <v>Mayor</v>
      </c>
      <c r="AC75" s="109">
        <f>IFERROR(IF(AND(R74="Impacto",R75="Impacto"),(AC74-(+AC74*U75)),IF(R75="Impacto",(N74-(+N74*U75)),IF(R75="Probabilidad",AC74,""))),"")</f>
        <v>0.8</v>
      </c>
      <c r="AD75" s="77" t="str">
        <f t="shared" si="80"/>
        <v>Alto</v>
      </c>
      <c r="AE75" s="78"/>
      <c r="AF75" s="105"/>
      <c r="AG75" s="112"/>
      <c r="AH75" s="113"/>
      <c r="AI75" s="113"/>
      <c r="AJ75" s="105"/>
      <c r="AK75" s="112"/>
      <c r="AL75" s="136"/>
      <c r="AM75" s="136"/>
      <c r="AN75" s="134"/>
      <c r="AO75" s="393"/>
    </row>
    <row r="76" spans="2:41" ht="114.75" customHeight="1" x14ac:dyDescent="0.2">
      <c r="B76" s="141"/>
      <c r="C76" s="142"/>
      <c r="D76" s="142"/>
      <c r="E76" s="142"/>
      <c r="F76" s="142"/>
      <c r="G76" s="136"/>
      <c r="H76" s="142"/>
      <c r="I76" s="139"/>
      <c r="J76" s="138"/>
      <c r="K76" s="137"/>
      <c r="L76" s="138">
        <f>IF(NOT(ISERROR(MATCH(K76,_xlfn.ANCHORARRAY(G87),0))),J89&amp;"Por favor no seleccionar los criterios de impacto",K76)</f>
        <v>0</v>
      </c>
      <c r="M76" s="139"/>
      <c r="N76" s="138"/>
      <c r="O76" s="134"/>
      <c r="P76" s="106">
        <v>3</v>
      </c>
      <c r="Q76" s="105" t="s">
        <v>324</v>
      </c>
      <c r="R76" s="108" t="str">
        <f>IF(OR(S76="Preventivo",S76="Detectivo"),"Probabilidad",IF(S76="Correctivo","Impacto",""))</f>
        <v>Impacto</v>
      </c>
      <c r="S76" s="78" t="s">
        <v>148</v>
      </c>
      <c r="T76" s="78" t="s">
        <v>152</v>
      </c>
      <c r="U76" s="109" t="str">
        <f t="shared" si="96"/>
        <v>25%</v>
      </c>
      <c r="V76" s="78" t="s">
        <v>155</v>
      </c>
      <c r="W76" s="78" t="s">
        <v>159</v>
      </c>
      <c r="X76" s="78" t="s">
        <v>195</v>
      </c>
      <c r="Y76" s="110">
        <f>IFERROR(IF(AND(R75="Probabilidad",R76="Probabilidad"),(AA75-(+AA75*U76)),IF(AND(R75="Impacto",R76="Probabilidad"),(AA74-(+AA74*U76)),IF(R76="Impacto",AA75,""))),"")</f>
        <v>0.33599999999999997</v>
      </c>
      <c r="Z76" s="111" t="str">
        <f t="shared" si="78"/>
        <v>Improbable</v>
      </c>
      <c r="AA76" s="109">
        <f t="shared" si="97"/>
        <v>0.33599999999999997</v>
      </c>
      <c r="AB76" s="111" t="str">
        <f t="shared" si="79"/>
        <v>Moderado</v>
      </c>
      <c r="AC76" s="109">
        <f>IFERROR(IF(AND(R75="Impacto",R76="Impacto"),(AC75-(+AC75*U76)),IF(AND(R75="Probabilidad",R76="Impacto"),(AC74-(+AC74*U76)),IF(R76="Probabilidad",AC75,""))),"")</f>
        <v>0.60000000000000009</v>
      </c>
      <c r="AD76" s="77" t="str">
        <f t="shared" si="80"/>
        <v>Moderado</v>
      </c>
      <c r="AE76" s="78" t="s">
        <v>173</v>
      </c>
      <c r="AF76" s="105" t="s">
        <v>325</v>
      </c>
      <c r="AG76" s="112" t="s">
        <v>326</v>
      </c>
      <c r="AH76" s="113">
        <v>45657</v>
      </c>
      <c r="AI76" s="113">
        <v>45322</v>
      </c>
      <c r="AJ76" s="105"/>
      <c r="AK76" s="112" t="s">
        <v>176</v>
      </c>
      <c r="AL76" s="136"/>
      <c r="AM76" s="136"/>
      <c r="AN76" s="134"/>
      <c r="AO76" s="393"/>
    </row>
    <row r="77" spans="2:41" x14ac:dyDescent="0.2">
      <c r="B77" s="141"/>
      <c r="C77" s="142"/>
      <c r="D77" s="142"/>
      <c r="E77" s="142"/>
      <c r="F77" s="142"/>
      <c r="G77" s="136"/>
      <c r="H77" s="142"/>
      <c r="I77" s="139"/>
      <c r="J77" s="138"/>
      <c r="K77" s="137"/>
      <c r="L77" s="138">
        <f>IF(NOT(ISERROR(MATCH(K77,_xlfn.ANCHORARRAY(G88),0))),J90&amp;"Por favor no seleccionar los criterios de impacto",K77)</f>
        <v>0</v>
      </c>
      <c r="M77" s="139"/>
      <c r="N77" s="138"/>
      <c r="O77" s="134"/>
      <c r="P77" s="106">
        <v>4</v>
      </c>
      <c r="Q77" s="115"/>
      <c r="R77" s="108" t="str">
        <f t="shared" ref="R77:R79" si="98">IF(OR(S77="Preventivo",S77="Detectivo"),"Probabilidad",IF(S77="Correctivo","Impacto",""))</f>
        <v/>
      </c>
      <c r="S77" s="78"/>
      <c r="T77" s="78"/>
      <c r="U77" s="109" t="str">
        <f t="shared" si="96"/>
        <v/>
      </c>
      <c r="V77" s="78"/>
      <c r="W77" s="78"/>
      <c r="X77" s="78"/>
      <c r="Y77" s="110" t="str">
        <f t="shared" ref="Y77:Y79" si="99">IFERROR(IF(AND(R76="Probabilidad",R77="Probabilidad"),(AA76-(+AA76*U77)),IF(AND(R76="Impacto",R77="Probabilidad"),(AA75-(+AA75*U77)),IF(R77="Impacto",AA76,""))),"")</f>
        <v/>
      </c>
      <c r="Z77" s="111" t="str">
        <f t="shared" si="78"/>
        <v/>
      </c>
      <c r="AA77" s="109" t="str">
        <f t="shared" si="97"/>
        <v/>
      </c>
      <c r="AB77" s="111" t="str">
        <f t="shared" si="79"/>
        <v/>
      </c>
      <c r="AC77" s="109" t="str">
        <f t="shared" ref="AC77:AC79" si="100">IFERROR(IF(AND(R76="Impacto",R77="Impacto"),(AC76-(+AC76*U77)),IF(AND(R76="Probabilidad",R77="Impacto"),(AC75-(+AC75*U77)),IF(R77="Probabilidad",AC76,""))),"")</f>
        <v/>
      </c>
      <c r="AD77" s="77" t="str">
        <f>IFERROR(IF(OR(AND(Z77="Muy Baja",AB77="Leve"),AND(Z77="Muy Baja",AB77="Menor"),AND(Z77="Baja",AB77="Leve")),"Bajo",IF(OR(AND(Z77="Muy baja",AB77="Moderado"),AND(Z77="Baja",AB77="Menor"),AND(Z77="Baja",AB77="Moderado"),AND(Z77="Media",AB77="Leve"),AND(Z77="Media",AB77="Menor"),AND(Z77="Media",AB77="Moderado"),AND(Z77="Alta",AB77="Leve"),AND(Z77="Alta",AB77="Menor")),"Moderado",IF(OR(AND(Z77="Muy Baja",AB77="Mayor"),AND(Z77="Baja",AB77="Mayor"),AND(Z77="Media",AB77="Mayor"),AND(Z77="Alta",AB77="Moderado"),AND(Z77="Alta",AB77="Mayor"),AND(Z77="Muy Alta",AB77="Leve"),AND(Z77="Muy Alta",AB77="Menor"),AND(Z77="Muy Alta",AB77="Moderado"),AND(Z77="Muy Alta",AB77="Mayor")),"Alto",IF(OR(AND(Z77="Muy Baja",AB77="Catastrófico"),AND(Z77="Baja",AB77="Catastrófico"),AND(Z77="Media",AB77="Catastrófico"),AND(Z77="Alta",AB77="Catastrófico"),AND(Z77="Muy Alta",AB77="Catastrófico")),"Extremo","")))),"")</f>
        <v/>
      </c>
      <c r="AE77" s="78"/>
      <c r="AF77" s="105"/>
      <c r="AG77" s="112"/>
      <c r="AH77" s="113"/>
      <c r="AI77" s="113"/>
      <c r="AJ77" s="105"/>
      <c r="AK77" s="112"/>
      <c r="AL77" s="136"/>
      <c r="AM77" s="136"/>
      <c r="AN77" s="134"/>
      <c r="AO77" s="393"/>
    </row>
    <row r="78" spans="2:41" x14ac:dyDescent="0.2">
      <c r="B78" s="141"/>
      <c r="C78" s="142"/>
      <c r="D78" s="142"/>
      <c r="E78" s="142"/>
      <c r="F78" s="142"/>
      <c r="G78" s="136"/>
      <c r="H78" s="142"/>
      <c r="I78" s="139"/>
      <c r="J78" s="138"/>
      <c r="K78" s="137"/>
      <c r="L78" s="138">
        <f>IF(NOT(ISERROR(MATCH(K78,_xlfn.ANCHORARRAY(G89),0))),J91&amp;"Por favor no seleccionar los criterios de impacto",K78)</f>
        <v>0</v>
      </c>
      <c r="M78" s="139"/>
      <c r="N78" s="138"/>
      <c r="O78" s="134"/>
      <c r="P78" s="106">
        <v>5</v>
      </c>
      <c r="Q78" s="115"/>
      <c r="R78" s="108" t="str">
        <f t="shared" si="98"/>
        <v/>
      </c>
      <c r="S78" s="78"/>
      <c r="T78" s="78"/>
      <c r="U78" s="109" t="str">
        <f t="shared" si="96"/>
        <v/>
      </c>
      <c r="V78" s="78"/>
      <c r="W78" s="78"/>
      <c r="X78" s="78"/>
      <c r="Y78" s="119" t="str">
        <f t="shared" si="99"/>
        <v/>
      </c>
      <c r="Z78" s="111" t="str">
        <f t="shared" si="78"/>
        <v/>
      </c>
      <c r="AA78" s="109" t="str">
        <f t="shared" si="97"/>
        <v/>
      </c>
      <c r="AB78" s="111" t="str">
        <f t="shared" si="79"/>
        <v/>
      </c>
      <c r="AC78" s="109" t="str">
        <f t="shared" si="100"/>
        <v/>
      </c>
      <c r="AD78" s="77" t="str">
        <f t="shared" ref="AD78:AD79" si="101">IFERROR(IF(OR(AND(Z78="Muy Baja",AB78="Leve"),AND(Z78="Muy Baja",AB78="Menor"),AND(Z78="Baja",AB78="Leve")),"Bajo",IF(OR(AND(Z78="Muy baja",AB78="Moderado"),AND(Z78="Baja",AB78="Menor"),AND(Z78="Baja",AB78="Moderado"),AND(Z78="Media",AB78="Leve"),AND(Z78="Media",AB78="Menor"),AND(Z78="Media",AB78="Moderado"),AND(Z78="Alta",AB78="Leve"),AND(Z78="Alta",AB78="Menor")),"Moderado",IF(OR(AND(Z78="Muy Baja",AB78="Mayor"),AND(Z78="Baja",AB78="Mayor"),AND(Z78="Media",AB78="Mayor"),AND(Z78="Alta",AB78="Moderado"),AND(Z78="Alta",AB78="Mayor"),AND(Z78="Muy Alta",AB78="Leve"),AND(Z78="Muy Alta",AB78="Menor"),AND(Z78="Muy Alta",AB78="Moderado"),AND(Z78="Muy Alta",AB78="Mayor")),"Alto",IF(OR(AND(Z78="Muy Baja",AB78="Catastrófico"),AND(Z78="Baja",AB78="Catastrófico"),AND(Z78="Media",AB78="Catastrófico"),AND(Z78="Alta",AB78="Catastrófico"),AND(Z78="Muy Alta",AB78="Catastrófico")),"Extremo","")))),"")</f>
        <v/>
      </c>
      <c r="AE78" s="78"/>
      <c r="AF78" s="105"/>
      <c r="AG78" s="112"/>
      <c r="AH78" s="113"/>
      <c r="AI78" s="113"/>
      <c r="AJ78" s="105"/>
      <c r="AK78" s="112"/>
      <c r="AL78" s="136"/>
      <c r="AM78" s="136"/>
      <c r="AN78" s="134"/>
      <c r="AO78" s="393"/>
    </row>
    <row r="79" spans="2:41" x14ac:dyDescent="0.2">
      <c r="B79" s="141"/>
      <c r="C79" s="142"/>
      <c r="D79" s="142"/>
      <c r="E79" s="142"/>
      <c r="F79" s="142"/>
      <c r="G79" s="136"/>
      <c r="H79" s="142"/>
      <c r="I79" s="139"/>
      <c r="J79" s="138"/>
      <c r="K79" s="137"/>
      <c r="L79" s="138">
        <f>IF(NOT(ISERROR(MATCH(K79,_xlfn.ANCHORARRAY(G90),0))),J132&amp;"Por favor no seleccionar los criterios de impacto",K79)</f>
        <v>0</v>
      </c>
      <c r="M79" s="139"/>
      <c r="N79" s="138"/>
      <c r="O79" s="134"/>
      <c r="P79" s="106">
        <v>6</v>
      </c>
      <c r="Q79" s="115"/>
      <c r="R79" s="108" t="str">
        <f t="shared" si="98"/>
        <v/>
      </c>
      <c r="S79" s="78"/>
      <c r="T79" s="78"/>
      <c r="U79" s="109" t="str">
        <f t="shared" si="96"/>
        <v/>
      </c>
      <c r="V79" s="78"/>
      <c r="W79" s="78"/>
      <c r="X79" s="78"/>
      <c r="Y79" s="110" t="str">
        <f t="shared" si="99"/>
        <v/>
      </c>
      <c r="Z79" s="111" t="str">
        <f t="shared" si="78"/>
        <v/>
      </c>
      <c r="AA79" s="109" t="str">
        <f t="shared" si="97"/>
        <v/>
      </c>
      <c r="AB79" s="111" t="str">
        <f t="shared" si="79"/>
        <v/>
      </c>
      <c r="AC79" s="109" t="str">
        <f t="shared" si="100"/>
        <v/>
      </c>
      <c r="AD79" s="77" t="str">
        <f t="shared" si="101"/>
        <v/>
      </c>
      <c r="AE79" s="78"/>
      <c r="AF79" s="105"/>
      <c r="AG79" s="112"/>
      <c r="AH79" s="113"/>
      <c r="AI79" s="113"/>
      <c r="AJ79" s="105"/>
      <c r="AK79" s="112"/>
      <c r="AL79" s="136"/>
      <c r="AM79" s="136"/>
      <c r="AN79" s="134"/>
      <c r="AO79" s="393"/>
    </row>
    <row r="80" spans="2:41" ht="128.25" customHeight="1" x14ac:dyDescent="0.2">
      <c r="B80" s="141" t="s">
        <v>327</v>
      </c>
      <c r="C80" s="142" t="s">
        <v>204</v>
      </c>
      <c r="D80" s="136" t="s">
        <v>328</v>
      </c>
      <c r="E80" s="142" t="s">
        <v>231</v>
      </c>
      <c r="F80" s="142" t="s">
        <v>329</v>
      </c>
      <c r="G80" s="136" t="s">
        <v>330</v>
      </c>
      <c r="H80" s="142" t="s">
        <v>61</v>
      </c>
      <c r="I80" s="139" t="str">
        <f>IF(H80&lt;=0,"",IF(H80="No se ha presentado en los últimos 5 años","Rara vez",IF(H80="Al menos 1 vez en los últimos 5 años","Improbable",IF(H80="Al menos 1 vez en los últimos 2 años","Posible",IF(H80="Al menos 1 vez en el último año","Probable",IF(H80="Más de 1 vez al año","Casi Seguro"))))))</f>
        <v>Rara vez</v>
      </c>
      <c r="J80" s="138">
        <f>IF(I80="","",IF(I80="Rara vez",0.2,IF(I80="Improbable",0.4,IF(I80="Posible",0.6,IF(I80="Probable",0.8,IF(I80="Casi Seguro",1,))))))</f>
        <v>0.2</v>
      </c>
      <c r="K80" s="137" t="s">
        <v>82</v>
      </c>
      <c r="L80" s="138" t="str">
        <f>IF(NOT(ISERROR(MATCH(K80,'[8]Tabla Impacto'!$B$220:$B$222,0))),'[8]Tabla Impacto'!$F$222&amp;"Por favor no seleccionar los criterios de impacto(Criterios para calificar el impacto)",K80)</f>
        <v xml:space="preserve">Responder afirmativamente de DOCE a DIECINUEVE </v>
      </c>
      <c r="M80" s="139" t="str">
        <f>IF(OR(L80='[8]Tabla Impacto'!$C$5),"Moderado",IF(OR(L80='[8]Tabla Impacto'!$C$6),"Mayor",IF(OR(L80='[8]Tabla Impacto'!$C$7),"Catastrófico","")))</f>
        <v>Catastrófico</v>
      </c>
      <c r="N80" s="138">
        <f>IF(M80="","",IF(M80="Leve",0.2,IF(M80="Menor",0.4,IF(M80="Moderado",0.6,IF(M80="Mayor",0.8,IF(M80="Catastrófico",1,))))))</f>
        <v>1</v>
      </c>
      <c r="O80" s="134" t="str">
        <f>IF(OR(AND(I80="Rara vez",M80="Leve"),AND(I80="Rara vez",M80="Menor"),AND(I80="Improbable",M80="Leve")),"Bajo",IF(OR(AND(I80="Rara vez",M80="Moderado"),AND(I80="Improbable",M80="Menor"),AND(I80="Improbable",M80="Moderado"),AND(I80="Posible",M80="Leve"),AND(I80="Posible",M80="Menor"),AND(I80="Posible",M80="Moderado"),AND(I80="Probable",M80="Leve"),AND(I80="Probable",M80="Menor")),"Moderado",IF(OR(AND(I80="Rara vez",M80="Mayor"),AND(I80="Improbable",M80="Mayor"),AND(I80="Posible",M80="Mayor"),AND(I80="Probable",M80="Moderado"),AND(I80="Probable",M80="Mayor"),AND(I80="Casi Seguro",M80="Leve"),AND(I80="Casi Seguro",M80="Menor"),AND(I80="Casi Seguro",M80="Moderado"),AND(I80="Casi Seguro",M80="Mayor")),"Alto",IF(OR(AND(I80="Rara vez",M80="Catastrófico"),AND(I80="Improbable",M80="Catastrófico"),AND(I80="Posible",M80="Catastrófico"),AND(I80="Probable",M80="Catastrófico"),AND(I80="Casi Seguro",M80="Catastrófico")),"Extremo",""))))</f>
        <v>Extremo</v>
      </c>
      <c r="P80" s="106">
        <v>1</v>
      </c>
      <c r="Q80" s="115" t="s">
        <v>388</v>
      </c>
      <c r="R80" s="108" t="str">
        <f>IF(OR(S80="Preventivo",S80="Detectivo"),"Probabilidad",IF(S80="Correctivo","Impacto",""))</f>
        <v>Probabilidad</v>
      </c>
      <c r="S80" s="78" t="s">
        <v>144</v>
      </c>
      <c r="T80" s="78" t="s">
        <v>152</v>
      </c>
      <c r="U80" s="109" t="str">
        <f>IF(AND(S80="Preventivo",T80="Automático"),"50%",IF(AND(S80="Preventivo",T80="Manual"),"40%",IF(AND(S80="Detectivo",T80="Automático"),"40%",IF(AND(S80="Detectivo",T80="Manual"),"30%",IF(AND(S80="Correctivo",T80="Automático"),"35%",IF(AND(S80="Correctivo",T80="Manual"),"25%",""))))))</f>
        <v>40%</v>
      </c>
      <c r="V80" s="78" t="s">
        <v>155</v>
      </c>
      <c r="W80" s="78" t="s">
        <v>161</v>
      </c>
      <c r="X80" s="78" t="s">
        <v>163</v>
      </c>
      <c r="Y80" s="110">
        <f>IFERROR(IF(R80="Probabilidad",(J80-(+J80*U80)),IF(R80="Impacto",J80,"")),"")</f>
        <v>0.12</v>
      </c>
      <c r="Z80" s="111" t="str">
        <f>IFERROR(IF(Y80="","",IF(Y80&lt;=0.2,"Rara vez",IF(Y80&lt;=0.4,"Improbable",IF(Y80&lt;=0.6,"Posible",IF(Y80&lt;=0.8,"Probable","Casi Seguro"))))),"")</f>
        <v>Rara vez</v>
      </c>
      <c r="AA80" s="109">
        <f>+Y80</f>
        <v>0.12</v>
      </c>
      <c r="AB80" s="111" t="str">
        <f>IFERROR(IF(AC80="","",IF(AC80&lt;=0.6,"Moderado",IF(AC80&lt;=0.8,"Mayor","Catastrófico"))),"")</f>
        <v>Catastrófico</v>
      </c>
      <c r="AC80" s="109">
        <f>IFERROR(IF(R80="Impacto",(N80-(+N80*U80)),IF(R80="Probabilidad",N80,"")),"")</f>
        <v>1</v>
      </c>
      <c r="AD80" s="77" t="str">
        <f>IFERROR(IF(OR(AND(Z80="Rara vez",AB80="Leve"),AND(Z80="Rara vez",AB80="Menor"),AND(Z80="Improbable",AB80="Leve")),"Bajo",IF(OR(AND(Z80="Rara vez",AB80="Moderado"),AND(Z80="Improbable",AB80="Menor"),AND(Z80="Improbable",AB80="Moderado"),AND(Z80="Posible",AB80="Leve"),AND(Z80="Posible",AB80="Menor"),AND(Z80="Posible",AB80="Moderado"),AND(Z80="Probable",AB80="Leve"),AND(Z80="Probable",AB80="Menor")),"Moderado",IF(OR(AND(Z80="Rara vez",AB80="Mayor"),AND(Z80="Improbable",AB80="Mayor"),AND(Z80="Posible",AB80="Mayor"),AND(Z80="Probable",AB80="Moderado"),AND(Z80="Probable",AB80="Mayor"),AND(Z80="Casi Seguro",AB80="Leve"),AND(Z80="Casi Seguro",AB80="Menor"),AND(Z80="Casi Seguro",AB80="Moderado"),AND(Z80="Casi Seguro",AB80="Mayor")),"Alto",IF(OR(AND(Z80="Rara vez",AB80="Catastrófico"),AND(Z80="Improbable",AB80="Catastrófico"),AND(Z80="Posible",AB80="Catastrófico"),AND(Z80="Probable",AB80="Catastrófico"),AND(Z80="Casi Seguro",AB80="Catastrófico")),"Extremo","")))),"")</f>
        <v>Extremo</v>
      </c>
      <c r="AE80" s="78"/>
      <c r="AF80" s="105"/>
      <c r="AG80" s="112"/>
      <c r="AH80" s="113"/>
      <c r="AI80" s="113"/>
      <c r="AJ80" s="105"/>
      <c r="AK80" s="114"/>
      <c r="AL80" s="140">
        <v>44917</v>
      </c>
      <c r="AM80" s="135" t="s">
        <v>222</v>
      </c>
      <c r="AN80" s="134" t="str">
        <f>+O80</f>
        <v>Extremo</v>
      </c>
      <c r="AO80" s="393" t="str">
        <f>+AD84</f>
        <v>Alto</v>
      </c>
    </row>
    <row r="81" spans="2:41" ht="135" customHeight="1" x14ac:dyDescent="0.2">
      <c r="B81" s="141"/>
      <c r="C81" s="142"/>
      <c r="D81" s="136"/>
      <c r="E81" s="142"/>
      <c r="F81" s="142"/>
      <c r="G81" s="136"/>
      <c r="H81" s="142"/>
      <c r="I81" s="139"/>
      <c r="J81" s="138"/>
      <c r="K81" s="137"/>
      <c r="L81" s="138">
        <f>IF(NOT(ISERROR(MATCH(K81,_xlfn.ANCHORARRAY(G132),0))),J134&amp;"Por favor no seleccionar los criterios de impacto",K81)</f>
        <v>0</v>
      </c>
      <c r="M81" s="139"/>
      <c r="N81" s="138"/>
      <c r="O81" s="134"/>
      <c r="P81" s="106">
        <v>2</v>
      </c>
      <c r="Q81" s="115" t="s">
        <v>389</v>
      </c>
      <c r="R81" s="108" t="str">
        <f>IF(OR(S81="Preventivo",S81="Detectivo"),"Probabilidad",IF(S81="Correctivo","Impacto",""))</f>
        <v>Probabilidad</v>
      </c>
      <c r="S81" s="78" t="s">
        <v>146</v>
      </c>
      <c r="T81" s="78" t="s">
        <v>152</v>
      </c>
      <c r="U81" s="109" t="str">
        <f t="shared" ref="U81:U85" si="102">IF(AND(S81="Preventivo",T81="Automático"),"50%",IF(AND(S81="Preventivo",T81="Manual"),"40%",IF(AND(S81="Detectivo",T81="Automático"),"40%",IF(AND(S81="Detectivo",T81="Manual"),"30%",IF(AND(S81="Correctivo",T81="Automático"),"35%",IF(AND(S81="Correctivo",T81="Manual"),"25%",""))))))</f>
        <v>30%</v>
      </c>
      <c r="V81" s="78" t="s">
        <v>155</v>
      </c>
      <c r="W81" s="78" t="s">
        <v>159</v>
      </c>
      <c r="X81" s="78" t="s">
        <v>163</v>
      </c>
      <c r="Y81" s="110">
        <f>IFERROR(IF(AND(R80="Probabilidad",R81="Probabilidad"),(AA80-(+AA80*U81)),IF(R81="Probabilidad",(J80-(+J80*U81)),IF(R81="Impacto",AA80,""))),"")</f>
        <v>8.3999999999999991E-2</v>
      </c>
      <c r="Z81" s="111" t="str">
        <f t="shared" ref="Z81:Z85" si="103">IFERROR(IF(Y81="","",IF(Y81&lt;=0.2,"Rara vez",IF(Y81&lt;=0.4,"Improbable",IF(Y81&lt;=0.6,"Posible",IF(Y81&lt;=0.8,"Probable","Casi Seguro"))))),"")</f>
        <v>Rara vez</v>
      </c>
      <c r="AA81" s="109">
        <f t="shared" ref="AA81:AA85" si="104">+Y81</f>
        <v>8.3999999999999991E-2</v>
      </c>
      <c r="AB81" s="111" t="str">
        <f t="shared" ref="AB81:AB85" si="105">IFERROR(IF(AC81="","",IF(AC81&lt;=0.6,"Moderado",IF(AC81&lt;=0.8,"Mayor","Catastrófico"))),"")</f>
        <v>Catastrófico</v>
      </c>
      <c r="AC81" s="109">
        <f>IFERROR(IF(AND(R80="Impacto",R81="Impacto"),(AC80-(+AC80*U81)),IF(R81="Impacto",(N80-(+N80*U81)),IF(R81="Probabilidad",AC80,""))),"")</f>
        <v>1</v>
      </c>
      <c r="AD81" s="77" t="str">
        <f t="shared" ref="AD81:AD85" si="106">IFERROR(IF(OR(AND(Z81="Rara vez",AB81="Leve"),AND(Z81="Rara vez",AB81="Menor"),AND(Z81="Improbable",AB81="Leve")),"Bajo",IF(OR(AND(Z81="Rara vez",AB81="Moderado"),AND(Z81="Improbable",AB81="Menor"),AND(Z81="Improbable",AB81="Moderado"),AND(Z81="Posible",AB81="Leve"),AND(Z81="Posible",AB81="Menor"),AND(Z81="Posible",AB81="Moderado"),AND(Z81="Probable",AB81="Leve"),AND(Z81="Probable",AB81="Menor")),"Moderado",IF(OR(AND(Z81="Rara vez",AB81="Mayor"),AND(Z81="Improbable",AB81="Mayor"),AND(Z81="Posible",AB81="Mayor"),AND(Z81="Probable",AB81="Moderado"),AND(Z81="Probable",AB81="Mayor"),AND(Z81="Casi Seguro",AB81="Leve"),AND(Z81="Casi Seguro",AB81="Menor"),AND(Z81="Casi Seguro",AB81="Moderado"),AND(Z81="Casi Seguro",AB81="Mayor")),"Alto",IF(OR(AND(Z81="Rara vez",AB81="Catastrófico"),AND(Z81="Improbable",AB81="Catastrófico"),AND(Z81="Posible",AB81="Catastrófico"),AND(Z81="Probable",AB81="Catastrófico"),AND(Z81="Casi Seguro",AB81="Catastrófico")),"Extremo","")))),"")</f>
        <v>Extremo</v>
      </c>
      <c r="AE81" s="78"/>
      <c r="AF81" s="105"/>
      <c r="AG81" s="112"/>
      <c r="AH81" s="113"/>
      <c r="AI81" s="113"/>
      <c r="AJ81" s="105"/>
      <c r="AK81" s="114"/>
      <c r="AL81" s="170"/>
      <c r="AM81" s="136"/>
      <c r="AN81" s="134"/>
      <c r="AO81" s="393"/>
    </row>
    <row r="82" spans="2:41" ht="150.75" customHeight="1" x14ac:dyDescent="0.2">
      <c r="B82" s="141"/>
      <c r="C82" s="142"/>
      <c r="D82" s="136"/>
      <c r="E82" s="142"/>
      <c r="F82" s="142"/>
      <c r="G82" s="136"/>
      <c r="H82" s="142"/>
      <c r="I82" s="139"/>
      <c r="J82" s="138"/>
      <c r="K82" s="137"/>
      <c r="L82" s="138">
        <f>IF(NOT(ISERROR(MATCH(K82,_xlfn.ANCHORARRAY(G133),0))),J135&amp;"Por favor no seleccionar los criterios de impacto",K82)</f>
        <v>0</v>
      </c>
      <c r="M82" s="139"/>
      <c r="N82" s="138"/>
      <c r="O82" s="134"/>
      <c r="P82" s="106">
        <v>3</v>
      </c>
      <c r="Q82" s="115" t="s">
        <v>390</v>
      </c>
      <c r="R82" s="108" t="str">
        <f>IF(OR(S82="Preventivo",S82="Detectivo"),"Probabilidad",IF(S82="Correctivo","Impacto",""))</f>
        <v>Probabilidad</v>
      </c>
      <c r="S82" s="78" t="s">
        <v>146</v>
      </c>
      <c r="T82" s="78" t="s">
        <v>152</v>
      </c>
      <c r="U82" s="109" t="str">
        <f t="shared" si="102"/>
        <v>30%</v>
      </c>
      <c r="V82" s="78" t="s">
        <v>155</v>
      </c>
      <c r="W82" s="78" t="s">
        <v>159</v>
      </c>
      <c r="X82" s="78" t="s">
        <v>163</v>
      </c>
      <c r="Y82" s="110">
        <f>IFERROR(IF(AND(R81="Probabilidad",R82="Probabilidad"),(AA81-(+AA81*U82)),IF(R82="Probabilidad",(J81-(+J81*U82)),IF(R82="Impacto",AA81,""))),"")</f>
        <v>5.8799999999999991E-2</v>
      </c>
      <c r="Z82" s="111" t="str">
        <f t="shared" si="103"/>
        <v>Rara vez</v>
      </c>
      <c r="AA82" s="109">
        <f t="shared" si="104"/>
        <v>5.8799999999999991E-2</v>
      </c>
      <c r="AB82" s="111" t="str">
        <f t="shared" si="105"/>
        <v>Catastrófico</v>
      </c>
      <c r="AC82" s="109">
        <f>IFERROR(IF(AND(R81="Impacto",R82="Impacto"),(AC81-(+AC81*T82)),IF(AND(R81="Probabilidad",R82="Impacto"),(AC80-(+AC80*T82)),IF(R82="Probabilidad",AC81,""))),"")</f>
        <v>1</v>
      </c>
      <c r="AD82" s="77" t="str">
        <f t="shared" si="106"/>
        <v>Extremo</v>
      </c>
      <c r="AE82" s="78"/>
      <c r="AF82" s="105"/>
      <c r="AG82" s="112"/>
      <c r="AH82" s="113"/>
      <c r="AI82" s="113"/>
      <c r="AJ82" s="105"/>
      <c r="AK82" s="114"/>
      <c r="AL82" s="170"/>
      <c r="AM82" s="136"/>
      <c r="AN82" s="134"/>
      <c r="AO82" s="393"/>
    </row>
    <row r="83" spans="2:41" ht="167.25" customHeight="1" x14ac:dyDescent="0.2">
      <c r="B83" s="141"/>
      <c r="C83" s="142"/>
      <c r="D83" s="136"/>
      <c r="E83" s="142"/>
      <c r="F83" s="142"/>
      <c r="G83" s="136"/>
      <c r="H83" s="142"/>
      <c r="I83" s="139"/>
      <c r="J83" s="138"/>
      <c r="K83" s="137"/>
      <c r="L83" s="138">
        <f>IF(NOT(ISERROR(MATCH(K83,_xlfn.ANCHORARRAY(G134),0))),J136&amp;"Por favor no seleccionar los criterios de impacto",K83)</f>
        <v>0</v>
      </c>
      <c r="M83" s="139"/>
      <c r="N83" s="138"/>
      <c r="O83" s="134"/>
      <c r="P83" s="106">
        <v>4</v>
      </c>
      <c r="Q83" s="115" t="s">
        <v>391</v>
      </c>
      <c r="R83" s="108" t="str">
        <f t="shared" ref="R83:R85" si="107">IF(OR(S83="Preventivo",S83="Detectivo"),"Probabilidad",IF(S83="Correctivo","Impacto",""))</f>
        <v>Probabilidad</v>
      </c>
      <c r="S83" s="78" t="s">
        <v>144</v>
      </c>
      <c r="T83" s="78" t="s">
        <v>152</v>
      </c>
      <c r="U83" s="109" t="str">
        <f t="shared" si="102"/>
        <v>40%</v>
      </c>
      <c r="V83" s="78" t="s">
        <v>155</v>
      </c>
      <c r="W83" s="78" t="s">
        <v>159</v>
      </c>
      <c r="X83" s="78" t="s">
        <v>163</v>
      </c>
      <c r="Y83" s="110">
        <f t="shared" ref="Y83:Y85" si="108">IFERROR(IF(AND(R82="Probabilidad",R83="Probabilidad"),(AA82-(+AA82*U83)),IF(AND(R82="Impacto",R83="Probabilidad"),(AA81-(+AA81*U83)),IF(R83="Impacto",AA82,""))),"")</f>
        <v>3.5279999999999992E-2</v>
      </c>
      <c r="Z83" s="111" t="str">
        <f t="shared" si="103"/>
        <v>Rara vez</v>
      </c>
      <c r="AA83" s="109">
        <f t="shared" si="104"/>
        <v>3.5279999999999992E-2</v>
      </c>
      <c r="AB83" s="111" t="str">
        <f t="shared" si="105"/>
        <v>Catastrófico</v>
      </c>
      <c r="AC83" s="109">
        <f t="shared" ref="AC83:AC85" si="109">IFERROR(IF(AND(R82="Impacto",R83="Impacto"),(AC82-(+AC82*U83)),IF(AND(R82="Probabilidad",R83="Impacto"),(AC81-(+AC81*U83)),IF(R83="Probabilidad",AC82,""))),"")</f>
        <v>1</v>
      </c>
      <c r="AD83" s="77" t="str">
        <f t="shared" si="106"/>
        <v>Extremo</v>
      </c>
      <c r="AE83" s="78"/>
      <c r="AF83" s="105"/>
      <c r="AG83" s="112"/>
      <c r="AH83" s="113"/>
      <c r="AI83" s="113"/>
      <c r="AJ83" s="105"/>
      <c r="AK83" s="114"/>
      <c r="AL83" s="170"/>
      <c r="AM83" s="136"/>
      <c r="AN83" s="134"/>
      <c r="AO83" s="393"/>
    </row>
    <row r="84" spans="2:41" ht="111.75" customHeight="1" x14ac:dyDescent="0.2">
      <c r="B84" s="141"/>
      <c r="C84" s="142"/>
      <c r="D84" s="136"/>
      <c r="E84" s="142"/>
      <c r="F84" s="142"/>
      <c r="G84" s="136"/>
      <c r="H84" s="142"/>
      <c r="I84" s="139"/>
      <c r="J84" s="138"/>
      <c r="K84" s="137"/>
      <c r="L84" s="138">
        <f>IF(NOT(ISERROR(MATCH(K84,_xlfn.ANCHORARRAY(G135),0))),J137&amp;"Por favor no seleccionar los criterios de impacto",K84)</f>
        <v>0</v>
      </c>
      <c r="M84" s="139"/>
      <c r="N84" s="138"/>
      <c r="O84" s="134"/>
      <c r="P84" s="106">
        <v>5</v>
      </c>
      <c r="Q84" s="115" t="s">
        <v>392</v>
      </c>
      <c r="R84" s="108" t="str">
        <f t="shared" si="107"/>
        <v>Impacto</v>
      </c>
      <c r="S84" s="78" t="s">
        <v>148</v>
      </c>
      <c r="T84" s="78" t="s">
        <v>152</v>
      </c>
      <c r="U84" s="109" t="str">
        <f t="shared" si="102"/>
        <v>25%</v>
      </c>
      <c r="V84" s="78" t="s">
        <v>155</v>
      </c>
      <c r="W84" s="78" t="s">
        <v>159</v>
      </c>
      <c r="X84" s="78" t="s">
        <v>163</v>
      </c>
      <c r="Y84" s="110">
        <f t="shared" si="108"/>
        <v>3.5279999999999992E-2</v>
      </c>
      <c r="Z84" s="111" t="str">
        <f t="shared" si="103"/>
        <v>Rara vez</v>
      </c>
      <c r="AA84" s="109">
        <f t="shared" si="104"/>
        <v>3.5279999999999992E-2</v>
      </c>
      <c r="AB84" s="111" t="str">
        <f t="shared" si="105"/>
        <v>Mayor</v>
      </c>
      <c r="AC84" s="109">
        <f t="shared" si="109"/>
        <v>0.75</v>
      </c>
      <c r="AD84" s="77" t="str">
        <f t="shared" si="106"/>
        <v>Alto</v>
      </c>
      <c r="AE84" s="78" t="s">
        <v>173</v>
      </c>
      <c r="AF84" s="105" t="s">
        <v>331</v>
      </c>
      <c r="AG84" s="105" t="s">
        <v>332</v>
      </c>
      <c r="AH84" s="113">
        <v>45565</v>
      </c>
      <c r="AI84" s="113"/>
      <c r="AJ84" s="118">
        <v>45565</v>
      </c>
      <c r="AK84" s="114" t="s">
        <v>176</v>
      </c>
      <c r="AL84" s="170"/>
      <c r="AM84" s="136"/>
      <c r="AN84" s="134"/>
      <c r="AO84" s="393"/>
    </row>
    <row r="85" spans="2:41" x14ac:dyDescent="0.2">
      <c r="B85" s="141"/>
      <c r="C85" s="142"/>
      <c r="D85" s="136"/>
      <c r="E85" s="142"/>
      <c r="F85" s="142"/>
      <c r="G85" s="136"/>
      <c r="H85" s="142"/>
      <c r="I85" s="139"/>
      <c r="J85" s="138"/>
      <c r="K85" s="137"/>
      <c r="L85" s="138">
        <f>IF(NOT(ISERROR(MATCH(K85,_xlfn.ANCHORARRAY(G136),0))),J138&amp;"Por favor no seleccionar los criterios de impacto",K85)</f>
        <v>0</v>
      </c>
      <c r="M85" s="139"/>
      <c r="N85" s="138"/>
      <c r="O85" s="134"/>
      <c r="P85" s="106">
        <v>6</v>
      </c>
      <c r="Q85" s="115"/>
      <c r="R85" s="108" t="str">
        <f t="shared" si="107"/>
        <v/>
      </c>
      <c r="S85" s="78"/>
      <c r="T85" s="78"/>
      <c r="U85" s="109" t="str">
        <f t="shared" si="102"/>
        <v/>
      </c>
      <c r="V85" s="78"/>
      <c r="W85" s="78"/>
      <c r="X85" s="78"/>
      <c r="Y85" s="110" t="str">
        <f t="shared" si="108"/>
        <v/>
      </c>
      <c r="Z85" s="111" t="str">
        <f t="shared" si="103"/>
        <v/>
      </c>
      <c r="AA85" s="109" t="str">
        <f t="shared" si="104"/>
        <v/>
      </c>
      <c r="AB85" s="111" t="str">
        <f t="shared" si="105"/>
        <v/>
      </c>
      <c r="AC85" s="109" t="str">
        <f t="shared" si="109"/>
        <v/>
      </c>
      <c r="AD85" s="77" t="str">
        <f t="shared" si="106"/>
        <v/>
      </c>
      <c r="AE85" s="78"/>
      <c r="AF85" s="105"/>
      <c r="AG85" s="112"/>
      <c r="AH85" s="113"/>
      <c r="AI85" s="113"/>
      <c r="AJ85" s="105"/>
      <c r="AK85" s="114"/>
      <c r="AL85" s="170"/>
      <c r="AM85" s="136"/>
      <c r="AN85" s="134"/>
      <c r="AO85" s="393"/>
    </row>
    <row r="86" spans="2:41" ht="156" customHeight="1" x14ac:dyDescent="0.2">
      <c r="B86" s="141" t="s">
        <v>333</v>
      </c>
      <c r="C86" s="142" t="s">
        <v>198</v>
      </c>
      <c r="D86" s="136" t="s">
        <v>334</v>
      </c>
      <c r="E86" s="142" t="s">
        <v>231</v>
      </c>
      <c r="F86" s="142" t="s">
        <v>335</v>
      </c>
      <c r="G86" s="136" t="s">
        <v>301</v>
      </c>
      <c r="H86" s="142" t="s">
        <v>61</v>
      </c>
      <c r="I86" s="139" t="str">
        <f>IF(H86&lt;=0,"",IF(H86="No se ha presentado en los últimos 5 años","Rara vez",IF(H86="Al menos 1 vez en los últimos 5 años","Improbable",IF(H86="Al menos 1 vez en los últimos 2 años","Posible",IF(H86="Al menos 1 vez en el último año","Probable",IF(H86="Más de 1 vez al año","Casi Seguro"))))))</f>
        <v>Rara vez</v>
      </c>
      <c r="J86" s="138">
        <f>IF(I86="","",IF(I86="Rara vez",0.2,IF(I86="Improbable",0.4,IF(I86="Posible",0.6,IF(I86="Probable",0.8,IF(I86="Casi Seguro",1,))))))</f>
        <v>0.2</v>
      </c>
      <c r="K86" s="137" t="s">
        <v>82</v>
      </c>
      <c r="L86" s="138" t="str">
        <f>IF(NOT(ISERROR(MATCH(K86,'[9]Tabla Impacto'!$B$220:$B$222,0))),'[9]Tabla Impacto'!$F$222&amp;"Por favor no seleccionar los criterios de impacto(Criterios para calificar el impacto)",K86)</f>
        <v xml:space="preserve">Responder afirmativamente de DOCE a DIECINUEVE </v>
      </c>
      <c r="M86" s="139" t="str">
        <f>IF(OR(L86='[9]Tabla Impacto'!$C$5),"Moderado",IF(OR(L86='[9]Tabla Impacto'!$C$6),"Mayor",IF(OR(L86='[9]Tabla Impacto'!$C$7),"Catastrófico","")))</f>
        <v>Catastrófico</v>
      </c>
      <c r="N86" s="138">
        <f>IF(M86="","",IF(M86="Leve",0.2,IF(M86="Menor",0.4,IF(M86="Moderado",0.6,IF(M86="Mayor",0.8,IF(M86="Catastrófico",1,))))))</f>
        <v>1</v>
      </c>
      <c r="O86" s="134" t="str">
        <f>IF(OR(AND(I86="Rara vez",M86="Leve"),AND(I86="Rara vez",M86="Menor"),AND(I86="Improbable",M86="Leve")),"Bajo",IF(OR(AND(I86="Rara vez",M86="Moderado"),AND(I86="Improbable",M86="Menor"),AND(I86="Improbable",M86="Moderado"),AND(I86="Posible",M86="Leve"),AND(I86="Posible",M86="Menor"),AND(I86="Posible",M86="Moderado"),AND(I86="Probable",M86="Leve"),AND(I86="Probable",M86="Menor")),"Moderado",IF(OR(AND(I86="Rara vez",M86="Mayor"),AND(I86="Improbable",M86="Mayor"),AND(I86="Posible",M86="Mayor"),AND(I86="Probable",M86="Moderado"),AND(I86="Probable",M86="Mayor"),AND(I86="Casi Seguro",M86="Leve"),AND(I86="Casi Seguro",M86="Menor"),AND(I86="Casi Seguro",M86="Moderado"),AND(I86="Casi Seguro",M86="Mayor")),"Alto",IF(OR(AND(I86="Rara vez",M86="Catastrófico"),AND(I86="Improbable",M86="Catastrófico"),AND(I86="Posible",M86="Catastrófico"),AND(I86="Probable",M86="Catastrófico"),AND(I86="Casi Seguro",M86="Catastrófico")),"Extremo",""))))</f>
        <v>Extremo</v>
      </c>
      <c r="P86" s="106">
        <v>1</v>
      </c>
      <c r="Q86" s="115" t="s">
        <v>336</v>
      </c>
      <c r="R86" s="108" t="str">
        <f>IF(OR(S86="Preventivo",S86="Detectivo"),"Probabilidad",IF(S86="Correctivo","Impacto",""))</f>
        <v>Probabilidad</v>
      </c>
      <c r="S86" s="78" t="s">
        <v>146</v>
      </c>
      <c r="T86" s="78" t="s">
        <v>152</v>
      </c>
      <c r="U86" s="109" t="str">
        <f>IF(AND(S86="Preventivo",T86="Automático"),"50%",IF(AND(S86="Preventivo",T86="Manual"),"40%",IF(AND(S86="Detectivo",T86="Automático"),"40%",IF(AND(S86="Detectivo",T86="Manual"),"30%",IF(AND(S86="Correctivo",T86="Automático"),"35%",IF(AND(S86="Correctivo",T86="Manual"),"25%",""))))))</f>
        <v>30%</v>
      </c>
      <c r="V86" s="78" t="s">
        <v>155</v>
      </c>
      <c r="W86" s="78" t="s">
        <v>159</v>
      </c>
      <c r="X86" s="78" t="s">
        <v>163</v>
      </c>
      <c r="Y86" s="110">
        <f>IFERROR(IF(R86="Probabilidad",(J86-(+J86*U86)),IF(R86="Impacto",J86,"")),"")</f>
        <v>0.14000000000000001</v>
      </c>
      <c r="Z86" s="111" t="str">
        <f>IFERROR(IF(Y86="","",IF(Y86&lt;=0.2,"Rara vez",IF(Y86&lt;=0.4,"Improbable",IF(Y86&lt;=0.6,"Posible",IF(Y86&lt;=0.8,"Probable","Casi Seguro"))))),"")</f>
        <v>Rara vez</v>
      </c>
      <c r="AA86" s="109">
        <f>+Y86</f>
        <v>0.14000000000000001</v>
      </c>
      <c r="AB86" s="111" t="str">
        <f>IFERROR(IF(AC86="","",IF(AC86&lt;=0.6,"Moderado",IF(AC86&lt;=0.8,"Mayor","Catastrófico"))),"")</f>
        <v>Catastrófico</v>
      </c>
      <c r="AC86" s="109">
        <f>IFERROR(IF(R86="Impacto",(N86-(+N86*U86)),IF(R86="Probabilidad",N86,"")),"")</f>
        <v>1</v>
      </c>
      <c r="AD86" s="77" t="str">
        <f>IFERROR(IF(OR(AND(Z86="Rara vez",AB86="Leve"),AND(Z86="Rara vez",AB86="Menor"),AND(Z86="Improbable",AB86="Leve")),"Bajo",IF(OR(AND(Z86="Rara vez",AB86="Moderado"),AND(Z86="Improbable",AB86="Menor"),AND(Z86="Improbable",AB86="Moderado"),AND(Z86="Posible",AB86="Leve"),AND(Z86="Posible",AB86="Menor"),AND(Z86="Posible",AB86="Moderado"),AND(Z86="Probable",AB86="Leve"),AND(Z86="Probable",AB86="Menor")),"Moderado",IF(OR(AND(Z86="Rara vez",AB86="Mayor"),AND(Z86="Improbable",AB86="Mayor"),AND(Z86="Posible",AB86="Mayor"),AND(Z86="Probable",AB86="Moderado"),AND(Z86="Probable",AB86="Mayor"),AND(Z86="Casi Seguro",AB86="Leve"),AND(Z86="Casi Seguro",AB86="Menor"),AND(Z86="Casi Seguro",AB86="Moderado"),AND(Z86="Casi Seguro",AB86="Mayor")),"Alto",IF(OR(AND(Z86="Rara vez",AB86="Catastrófico"),AND(Z86="Improbable",AB86="Catastrófico"),AND(Z86="Posible",AB86="Catastrófico"),AND(Z86="Probable",AB86="Catastrófico"),AND(Z86="Casi Seguro",AB86="Catastrófico")),"Extremo","")))),"")</f>
        <v>Extremo</v>
      </c>
      <c r="AE86" s="78"/>
      <c r="AF86" s="105"/>
      <c r="AG86" s="112"/>
      <c r="AH86" s="113"/>
      <c r="AI86" s="113"/>
      <c r="AJ86" s="105"/>
      <c r="AK86" s="114"/>
      <c r="AL86" s="140">
        <v>44917</v>
      </c>
      <c r="AM86" s="135" t="s">
        <v>222</v>
      </c>
      <c r="AN86" s="134" t="str">
        <f>+O86</f>
        <v>Extremo</v>
      </c>
      <c r="AO86" s="393" t="str">
        <f>+AD90</f>
        <v>Alto</v>
      </c>
    </row>
    <row r="87" spans="2:41" ht="159" customHeight="1" x14ac:dyDescent="0.2">
      <c r="B87" s="141"/>
      <c r="C87" s="142"/>
      <c r="D87" s="136"/>
      <c r="E87" s="142"/>
      <c r="F87" s="142"/>
      <c r="G87" s="136"/>
      <c r="H87" s="142"/>
      <c r="I87" s="139"/>
      <c r="J87" s="138"/>
      <c r="K87" s="137"/>
      <c r="L87" s="138">
        <f>IF(NOT(ISERROR(MATCH(K87,_xlfn.ANCHORARRAY(G138),0))),J184&amp;"Por favor no seleccionar los criterios de impacto",K87)</f>
        <v>0</v>
      </c>
      <c r="M87" s="139"/>
      <c r="N87" s="138"/>
      <c r="O87" s="134"/>
      <c r="P87" s="106">
        <v>2</v>
      </c>
      <c r="Q87" s="115" t="s">
        <v>337</v>
      </c>
      <c r="R87" s="108" t="str">
        <f>IF(OR(S87="Preventivo",S87="Detectivo"),"Probabilidad",IF(S87="Correctivo","Impacto",""))</f>
        <v>Probabilidad</v>
      </c>
      <c r="S87" s="78" t="s">
        <v>144</v>
      </c>
      <c r="T87" s="78" t="s">
        <v>152</v>
      </c>
      <c r="U87" s="109" t="str">
        <f t="shared" ref="U87:U91" si="110">IF(AND(S87="Preventivo",T87="Automático"),"50%",IF(AND(S87="Preventivo",T87="Manual"),"40%",IF(AND(S87="Detectivo",T87="Automático"),"40%",IF(AND(S87="Detectivo",T87="Manual"),"30%",IF(AND(S87="Correctivo",T87="Automático"),"35%",IF(AND(S87="Correctivo",T87="Manual"),"25%",""))))))</f>
        <v>40%</v>
      </c>
      <c r="V87" s="78" t="s">
        <v>155</v>
      </c>
      <c r="W87" s="78" t="s">
        <v>159</v>
      </c>
      <c r="X87" s="78" t="s">
        <v>163</v>
      </c>
      <c r="Y87" s="110">
        <f>IFERROR(IF(AND(R86="Probabilidad",R87="Probabilidad"),(AA86-(+AA86*U87)),IF(R87="Probabilidad",(J86-(+J86*U87)),IF(R87="Impacto",AA86,""))),"")</f>
        <v>8.4000000000000005E-2</v>
      </c>
      <c r="Z87" s="111" t="str">
        <f t="shared" ref="Z87:Z91" si="111">IFERROR(IF(Y87="","",IF(Y87&lt;=0.2,"Rara vez",IF(Y87&lt;=0.4,"Improbable",IF(Y87&lt;=0.6,"Posible",IF(Y87&lt;=0.8,"Probable","Casi Seguro"))))),"")</f>
        <v>Rara vez</v>
      </c>
      <c r="AA87" s="109">
        <f t="shared" ref="AA87:AA91" si="112">+Y87</f>
        <v>8.4000000000000005E-2</v>
      </c>
      <c r="AB87" s="111" t="str">
        <f t="shared" ref="AB87:AB91" si="113">IFERROR(IF(AC87="","",IF(AC87&lt;=0.6,"Moderado",IF(AC87&lt;=0.8,"Mayor","Catastrófico"))),"")</f>
        <v>Catastrófico</v>
      </c>
      <c r="AC87" s="109">
        <f>IFERROR(IF(AND(R86="Impacto",R87="Impacto"),(AC86-(+AC86*U87)),IF(R87="Impacto",(N86-(+N86*U87)),IF(R87="Probabilidad",AC86,""))),"")</f>
        <v>1</v>
      </c>
      <c r="AD87" s="77" t="str">
        <f t="shared" ref="AD87:AD91" si="114">IFERROR(IF(OR(AND(Z87="Rara vez",AB87="Leve"),AND(Z87="Rara vez",AB87="Menor"),AND(Z87="Improbable",AB87="Leve")),"Bajo",IF(OR(AND(Z87="Rara vez",AB87="Moderado"),AND(Z87="Improbable",AB87="Menor"),AND(Z87="Improbable",AB87="Moderado"),AND(Z87="Posible",AB87="Leve"),AND(Z87="Posible",AB87="Menor"),AND(Z87="Posible",AB87="Moderado"),AND(Z87="Probable",AB87="Leve"),AND(Z87="Probable",AB87="Menor")),"Moderado",IF(OR(AND(Z87="Rara vez",AB87="Mayor"),AND(Z87="Improbable",AB87="Mayor"),AND(Z87="Posible",AB87="Mayor"),AND(Z87="Probable",AB87="Moderado"),AND(Z87="Probable",AB87="Mayor"),AND(Z87="Casi Seguro",AB87="Leve"),AND(Z87="Casi Seguro",AB87="Menor"),AND(Z87="Casi Seguro",AB87="Moderado"),AND(Z87="Casi Seguro",AB87="Mayor")),"Alto",IF(OR(AND(Z87="Rara vez",AB87="Catastrófico"),AND(Z87="Improbable",AB87="Catastrófico"),AND(Z87="Posible",AB87="Catastrófico"),AND(Z87="Probable",AB87="Catastrófico"),AND(Z87="Casi Seguro",AB87="Catastrófico")),"Extremo","")))),"")</f>
        <v>Extremo</v>
      </c>
      <c r="AE87" s="78"/>
      <c r="AF87" s="105"/>
      <c r="AG87" s="112"/>
      <c r="AH87" s="113"/>
      <c r="AI87" s="113"/>
      <c r="AJ87" s="105"/>
      <c r="AK87" s="114"/>
      <c r="AL87" s="170"/>
      <c r="AM87" s="136"/>
      <c r="AN87" s="134"/>
      <c r="AO87" s="393"/>
    </row>
    <row r="88" spans="2:41" ht="117" customHeight="1" x14ac:dyDescent="0.2">
      <c r="B88" s="141"/>
      <c r="C88" s="142"/>
      <c r="D88" s="136"/>
      <c r="E88" s="142"/>
      <c r="F88" s="142"/>
      <c r="G88" s="136"/>
      <c r="H88" s="142"/>
      <c r="I88" s="139"/>
      <c r="J88" s="138"/>
      <c r="K88" s="137"/>
      <c r="L88" s="138">
        <f>IF(NOT(ISERROR(MATCH(K88,_xlfn.ANCHORARRAY(G139),0))),J185&amp;"Por favor no seleccionar los criterios de impacto",K88)</f>
        <v>0</v>
      </c>
      <c r="M88" s="139"/>
      <c r="N88" s="138"/>
      <c r="O88" s="134"/>
      <c r="P88" s="106">
        <v>3</v>
      </c>
      <c r="Q88" s="115" t="s">
        <v>338</v>
      </c>
      <c r="R88" s="108" t="str">
        <f>IF(OR(S88="Preventivo",S88="Detectivo"),"Probabilidad",IF(S88="Correctivo","Impacto",""))</f>
        <v>Probabilidad</v>
      </c>
      <c r="S88" s="78" t="s">
        <v>146</v>
      </c>
      <c r="T88" s="78" t="s">
        <v>152</v>
      </c>
      <c r="U88" s="109" t="str">
        <f t="shared" si="110"/>
        <v>30%</v>
      </c>
      <c r="V88" s="78" t="s">
        <v>155</v>
      </c>
      <c r="W88" s="78" t="s">
        <v>159</v>
      </c>
      <c r="X88" s="78" t="s">
        <v>163</v>
      </c>
      <c r="Y88" s="110">
        <f>IFERROR(IF(AND(R87="Probabilidad",R88="Probabilidad"),(AA87-(+AA87*U88)),IF(AND(R87="Impacto",R88="Probabilidad"),(AA86-(+AA86*U88)),IF(R88="Impacto",AA87,""))),"")</f>
        <v>5.8800000000000005E-2</v>
      </c>
      <c r="Z88" s="111" t="str">
        <f t="shared" si="111"/>
        <v>Rara vez</v>
      </c>
      <c r="AA88" s="109">
        <f t="shared" si="112"/>
        <v>5.8800000000000005E-2</v>
      </c>
      <c r="AB88" s="111" t="str">
        <f t="shared" si="113"/>
        <v>Catastrófico</v>
      </c>
      <c r="AC88" s="109">
        <f>IFERROR(IF(AND(R87="Impacto",R88="Impacto"),(AC87-(+AC87*U88)),IF(AND(R87="Probabilidad",R88="Impacto"),(AC86-(+AC86*U88)),IF(R88="Probabilidad",AC87,""))),"")</f>
        <v>1</v>
      </c>
      <c r="AD88" s="77" t="str">
        <f t="shared" si="114"/>
        <v>Extremo</v>
      </c>
      <c r="AE88" s="78"/>
      <c r="AF88" s="105"/>
      <c r="AG88" s="112"/>
      <c r="AH88" s="113"/>
      <c r="AI88" s="113"/>
      <c r="AJ88" s="105"/>
      <c r="AK88" s="114"/>
      <c r="AL88" s="170"/>
      <c r="AM88" s="136"/>
      <c r="AN88" s="134"/>
      <c r="AO88" s="393"/>
    </row>
    <row r="89" spans="2:41" ht="123" customHeight="1" x14ac:dyDescent="0.2">
      <c r="B89" s="141"/>
      <c r="C89" s="142"/>
      <c r="D89" s="136"/>
      <c r="E89" s="142"/>
      <c r="F89" s="142"/>
      <c r="G89" s="136"/>
      <c r="H89" s="142"/>
      <c r="I89" s="139"/>
      <c r="J89" s="138"/>
      <c r="K89" s="137"/>
      <c r="L89" s="138">
        <f>IF(NOT(ISERROR(MATCH(K89,_xlfn.ANCHORARRAY(G184),0))),J186&amp;"Por favor no seleccionar los criterios de impacto",K89)</f>
        <v>0</v>
      </c>
      <c r="M89" s="139"/>
      <c r="N89" s="138"/>
      <c r="O89" s="134"/>
      <c r="P89" s="106">
        <v>4</v>
      </c>
      <c r="Q89" s="115" t="s">
        <v>339</v>
      </c>
      <c r="R89" s="108" t="str">
        <f t="shared" ref="R89:R91" si="115">IF(OR(S89="Preventivo",S89="Detectivo"),"Probabilidad",IF(S89="Correctivo","Impacto",""))</f>
        <v>Probabilidad</v>
      </c>
      <c r="S89" s="78" t="s">
        <v>144</v>
      </c>
      <c r="T89" s="78" t="s">
        <v>152</v>
      </c>
      <c r="U89" s="109" t="str">
        <f t="shared" si="110"/>
        <v>40%</v>
      </c>
      <c r="V89" s="78" t="s">
        <v>155</v>
      </c>
      <c r="W89" s="78" t="s">
        <v>159</v>
      </c>
      <c r="X89" s="78" t="s">
        <v>163</v>
      </c>
      <c r="Y89" s="110">
        <f t="shared" ref="Y89:Y91" si="116">IFERROR(IF(AND(R88="Probabilidad",R89="Probabilidad"),(AA88-(+AA88*U89)),IF(AND(R88="Impacto",R89="Probabilidad"),(AA87-(+AA87*U89)),IF(R89="Impacto",AA88,""))),"")</f>
        <v>3.5280000000000006E-2</v>
      </c>
      <c r="Z89" s="111" t="str">
        <f t="shared" si="111"/>
        <v>Rara vez</v>
      </c>
      <c r="AA89" s="109">
        <f t="shared" si="112"/>
        <v>3.5280000000000006E-2</v>
      </c>
      <c r="AB89" s="111" t="str">
        <f t="shared" si="113"/>
        <v>Catastrófico</v>
      </c>
      <c r="AC89" s="109">
        <f t="shared" ref="AC89:AC91" si="117">IFERROR(IF(AND(R88="Impacto",R89="Impacto"),(AC88-(+AC88*U89)),IF(AND(R88="Probabilidad",R89="Impacto"),(AC87-(+AC87*U89)),IF(R89="Probabilidad",AC88,""))),"")</f>
        <v>1</v>
      </c>
      <c r="AD89" s="77" t="str">
        <f t="shared" si="114"/>
        <v>Extremo</v>
      </c>
      <c r="AE89" s="78"/>
      <c r="AF89" s="105"/>
      <c r="AG89" s="112"/>
      <c r="AH89" s="113"/>
      <c r="AI89" s="113"/>
      <c r="AJ89" s="105"/>
      <c r="AK89" s="114"/>
      <c r="AL89" s="170"/>
      <c r="AM89" s="136"/>
      <c r="AN89" s="134"/>
      <c r="AO89" s="393"/>
    </row>
    <row r="90" spans="2:41" ht="114.75" customHeight="1" x14ac:dyDescent="0.2">
      <c r="B90" s="141"/>
      <c r="C90" s="142"/>
      <c r="D90" s="136"/>
      <c r="E90" s="142"/>
      <c r="F90" s="142"/>
      <c r="G90" s="136"/>
      <c r="H90" s="142"/>
      <c r="I90" s="139"/>
      <c r="J90" s="138"/>
      <c r="K90" s="137"/>
      <c r="L90" s="138">
        <f>IF(NOT(ISERROR(MATCH(K90,_xlfn.ANCHORARRAY(G185),0))),J187&amp;"Por favor no seleccionar los criterios de impacto",K90)</f>
        <v>0</v>
      </c>
      <c r="M90" s="139"/>
      <c r="N90" s="138"/>
      <c r="O90" s="134"/>
      <c r="P90" s="106">
        <v>5</v>
      </c>
      <c r="Q90" s="115" t="s">
        <v>340</v>
      </c>
      <c r="R90" s="108" t="str">
        <f t="shared" si="115"/>
        <v>Impacto</v>
      </c>
      <c r="S90" s="78" t="s">
        <v>148</v>
      </c>
      <c r="T90" s="78" t="s">
        <v>152</v>
      </c>
      <c r="U90" s="109" t="str">
        <f t="shared" si="110"/>
        <v>25%</v>
      </c>
      <c r="V90" s="78" t="s">
        <v>155</v>
      </c>
      <c r="W90" s="78" t="s">
        <v>159</v>
      </c>
      <c r="X90" s="78" t="s">
        <v>163</v>
      </c>
      <c r="Y90" s="110">
        <f t="shared" si="116"/>
        <v>3.5280000000000006E-2</v>
      </c>
      <c r="Z90" s="111" t="str">
        <f t="shared" si="111"/>
        <v>Rara vez</v>
      </c>
      <c r="AA90" s="109">
        <f t="shared" si="112"/>
        <v>3.5280000000000006E-2</v>
      </c>
      <c r="AB90" s="111" t="str">
        <f t="shared" si="113"/>
        <v>Mayor</v>
      </c>
      <c r="AC90" s="109">
        <f t="shared" si="117"/>
        <v>0.75</v>
      </c>
      <c r="AD90" s="77" t="str">
        <f t="shared" si="114"/>
        <v>Alto</v>
      </c>
      <c r="AE90" s="78" t="s">
        <v>173</v>
      </c>
      <c r="AF90" s="105" t="s">
        <v>341</v>
      </c>
      <c r="AG90" s="118" t="s">
        <v>342</v>
      </c>
      <c r="AH90" s="118">
        <v>45657</v>
      </c>
      <c r="AI90" s="118">
        <v>45688</v>
      </c>
      <c r="AJ90" s="105"/>
      <c r="AK90" s="114" t="s">
        <v>176</v>
      </c>
      <c r="AL90" s="170"/>
      <c r="AM90" s="136"/>
      <c r="AN90" s="134"/>
      <c r="AO90" s="393"/>
    </row>
    <row r="91" spans="2:41" x14ac:dyDescent="0.2">
      <c r="B91" s="141"/>
      <c r="C91" s="142"/>
      <c r="D91" s="136"/>
      <c r="E91" s="142"/>
      <c r="F91" s="142"/>
      <c r="G91" s="136"/>
      <c r="H91" s="142"/>
      <c r="I91" s="139"/>
      <c r="J91" s="138"/>
      <c r="K91" s="137"/>
      <c r="L91" s="138">
        <f>IF(NOT(ISERROR(MATCH(K91,_xlfn.ANCHORARRAY(G186),0))),J188&amp;"Por favor no seleccionar los criterios de impacto",K91)</f>
        <v>0</v>
      </c>
      <c r="M91" s="139"/>
      <c r="N91" s="138"/>
      <c r="O91" s="134"/>
      <c r="P91" s="106">
        <v>6</v>
      </c>
      <c r="Q91" s="115"/>
      <c r="R91" s="108" t="str">
        <f t="shared" si="115"/>
        <v/>
      </c>
      <c r="S91" s="78"/>
      <c r="T91" s="78"/>
      <c r="U91" s="109" t="str">
        <f t="shared" si="110"/>
        <v/>
      </c>
      <c r="V91" s="78"/>
      <c r="W91" s="78"/>
      <c r="X91" s="78"/>
      <c r="Y91" s="110" t="str">
        <f t="shared" si="116"/>
        <v/>
      </c>
      <c r="Z91" s="111" t="str">
        <f t="shared" si="111"/>
        <v/>
      </c>
      <c r="AA91" s="109" t="str">
        <f t="shared" si="112"/>
        <v/>
      </c>
      <c r="AB91" s="111" t="str">
        <f t="shared" si="113"/>
        <v/>
      </c>
      <c r="AC91" s="109" t="str">
        <f t="shared" si="117"/>
        <v/>
      </c>
      <c r="AD91" s="77" t="str">
        <f t="shared" si="114"/>
        <v/>
      </c>
      <c r="AE91" s="78"/>
      <c r="AF91" s="105"/>
      <c r="AG91" s="112"/>
      <c r="AH91" s="113"/>
      <c r="AI91" s="113"/>
      <c r="AJ91" s="105"/>
      <c r="AK91" s="114"/>
      <c r="AL91" s="170"/>
      <c r="AM91" s="136"/>
      <c r="AN91" s="134"/>
      <c r="AO91" s="393"/>
    </row>
    <row r="92" spans="2:41" ht="102" x14ac:dyDescent="0.2">
      <c r="B92" s="141" t="s">
        <v>343</v>
      </c>
      <c r="C92" s="142" t="s">
        <v>206</v>
      </c>
      <c r="D92" s="136" t="s">
        <v>344</v>
      </c>
      <c r="E92" s="142" t="s">
        <v>345</v>
      </c>
      <c r="F92" s="142" t="s">
        <v>346</v>
      </c>
      <c r="G92" s="136" t="s">
        <v>347</v>
      </c>
      <c r="H92" s="142" t="s">
        <v>67</v>
      </c>
      <c r="I92" s="139" t="str">
        <f>IF(H92&lt;=0,"",IF(H92="No se ha presentado en los últimos 5 años","Rara vez",IF(H92="Al menos 1 vez en los últimos 5 años","Improbable",IF(H92="Al menos 1 vez en los últimos 2 años","Posible",IF(H92="Al menos 1 vez en el último año","Probable",IF(H92="Más de 1 vez al año","Casi Seguro"))))))</f>
        <v>Posible</v>
      </c>
      <c r="J92" s="138">
        <f>IF(I92="","",IF(I92="Rara vez",0.2,IF(I92="Improbable",0.4,IF(I92="Posible",0.6,IF(I92="Probable",0.8,IF(I92="Casi Seguro",1,))))))</f>
        <v>0.6</v>
      </c>
      <c r="K92" s="137" t="s">
        <v>82</v>
      </c>
      <c r="L92" s="138" t="str">
        <f>IF(NOT(ISERROR(MATCH(K92,'[10]Tabla Impacto'!$B$220:$B$222,0))),'[10]Tabla Impacto'!$F$222&amp;"Por favor no seleccionar los criterios de impacto(Criterios para calificar el impacto)",K92)</f>
        <v xml:space="preserve">Responder afirmativamente de DOCE a DIECINUEVE </v>
      </c>
      <c r="M92" s="139" t="str">
        <f>IF(OR(L92='[10]Tabla Impacto'!$C$5),"Moderado",IF(OR(L92='[10]Tabla Impacto'!$C$6),"Mayor",IF(OR(L92='[10]Tabla Impacto'!$C$7),"Catastrófico","")))</f>
        <v>Catastrófico</v>
      </c>
      <c r="N92" s="138">
        <f>IF(M92="","",IF(M92="Leve",0.2,IF(M92="Menor",0.4,IF(M92="Moderado",0.6,IF(M92="Mayor",0.8,IF(M92="Catastrófico",1,))))))</f>
        <v>1</v>
      </c>
      <c r="O92" s="134" t="str">
        <f>IF(OR(AND(I92="Rara vez",M92="Leve"),AND(I92="Rara vez",M92="Menor"),AND(I92="Improbable",M92="Leve")),"Bajo",IF(OR(AND(I92="Rara vez",M92="Moderado"),AND(I92="Improbable",M92="Menor"),AND(I92="Improbable",M92="Moderado"),AND(I92="Posible",M92="Leve"),AND(I92="Posible",M92="Menor"),AND(I92="Posible",M92="Moderado"),AND(I92="Probable",M92="Leve"),AND(I92="Probable",M92="Menor")),"Moderado",IF(OR(AND(I92="Rara vez",M92="Mayor"),AND(I92="Improbable",M92="Mayor"),AND(I92="Posible",M92="Mayor"),AND(I92="Probable",M92="Moderado"),AND(I92="Probable",M92="Mayor"),AND(I92="Casi Seguro",M92="Leve"),AND(I92="Casi Seguro",M92="Menor"),AND(I92="Casi Seguro",M92="Moderado"),AND(I92="Casi Seguro",M92="Mayor")),"Alto",IF(OR(AND(I92="Rara vez",M92="Catastrófico"),AND(I92="Improbable",M92="Catastrófico"),AND(I92="Posible",M92="Catastrófico"),AND(I92="Probable",M92="Catastrófico"),AND(I92="Casi Seguro",M92="Catastrófico")),"Extremo",""))))</f>
        <v>Extremo</v>
      </c>
      <c r="P92" s="106">
        <v>1</v>
      </c>
      <c r="Q92" s="115" t="s">
        <v>348</v>
      </c>
      <c r="R92" s="108" t="str">
        <f>IF(OR(S92="Preventivo",S92="Detectivo"),"Probabilidad",IF(S92="Correctivo","Impacto",""))</f>
        <v>Probabilidad</v>
      </c>
      <c r="S92" s="78" t="s">
        <v>144</v>
      </c>
      <c r="T92" s="78" t="s">
        <v>150</v>
      </c>
      <c r="U92" s="109" t="str">
        <f>IF(AND(S92="Preventivo",T92="Automático"),"50%",IF(AND(S92="Preventivo",T92="Manual"),"40%",IF(AND(S92="Detectivo",T92="Automático"),"40%",IF(AND(S92="Detectivo",T92="Manual"),"30%",IF(AND(S92="Correctivo",T92="Automático"),"35%",IF(AND(S92="Correctivo",T92="Manual"),"25%",""))))))</f>
        <v>50%</v>
      </c>
      <c r="V92" s="78" t="s">
        <v>157</v>
      </c>
      <c r="W92" s="78" t="s">
        <v>161</v>
      </c>
      <c r="X92" s="78" t="s">
        <v>165</v>
      </c>
      <c r="Y92" s="110">
        <f>IFERROR(IF(R92="Probabilidad",(J92-(+J92*U92)),IF(R92="Impacto",J92,"")),"")</f>
        <v>0.3</v>
      </c>
      <c r="Z92" s="111" t="str">
        <f>IFERROR(IF(Y92="","",IF(Y92&lt;=0.2,"Rara vez",IF(Y92&lt;=0.4,"Improbable",IF(Y92&lt;=0.6,"Posible",IF(Y92&lt;=0.8,"Probable","Casi Seguro"))))),"")</f>
        <v>Improbable</v>
      </c>
      <c r="AA92" s="109">
        <f>+Y92</f>
        <v>0.3</v>
      </c>
      <c r="AB92" s="111" t="str">
        <f>IFERROR(IF(AC92="","",IF(AC92&lt;=0.6,"Moderado",IF(AC92&lt;=0.8,"Mayor","Catastrófico"))),"")</f>
        <v>Catastrófico</v>
      </c>
      <c r="AC92" s="109">
        <f>IFERROR(IF(R92="Impacto",(N92-(+N92*U92)),IF(R92="Probabilidad",N92,"")),"")</f>
        <v>1</v>
      </c>
      <c r="AD92" s="77" t="str">
        <f>IFERROR(IF(OR(AND(Z92="Rara vez",AB92="Leve"),AND(Z92="Rara vez",AB92="Menor"),AND(Z92="Improbable",AB92="Leve")),"Bajo",IF(OR(AND(Z92="Rara vez",AB92="Moderado"),AND(Z92="Improbable",AB92="Menor"),AND(Z92="Improbable",AB92="Moderado"),AND(Z92="Posible",AB92="Leve"),AND(Z92="Posible",AB92="Menor"),AND(Z92="Posible",AB92="Moderado"),AND(Z92="Probable",AB92="Leve"),AND(Z92="Probable",AB92="Menor")),"Moderado",IF(OR(AND(Z92="Rara vez",AB92="Mayor"),AND(Z92="Improbable",AB92="Mayor"),AND(Z92="Posible",AB92="Mayor"),AND(Z92="Probable",AB92="Moderado"),AND(Z92="Probable",AB92="Mayor"),AND(Z92="Casi Seguro",AB92="Leve"),AND(Z92="Casi Seguro",AB92="Menor"),AND(Z92="Casi Seguro",AB92="Moderado"),AND(Z92="Casi Seguro",AB92="Mayor")),"Alto",IF(OR(AND(Z92="Rara vez",AB92="Catastrófico"),AND(Z92="Improbable",AB92="Catastrófico"),AND(Z92="Posible",AB92="Catastrófico"),AND(Z92="Probable",AB92="Catastrófico"),AND(Z92="Casi Seguro",AB92="Catastrófico")),"Extremo","")))),"")</f>
        <v>Extremo</v>
      </c>
      <c r="AE92" s="78"/>
      <c r="AF92" s="105"/>
      <c r="AG92" s="112"/>
      <c r="AH92" s="113"/>
      <c r="AI92" s="113"/>
      <c r="AJ92" s="105"/>
      <c r="AK92" s="112"/>
      <c r="AL92" s="135">
        <v>44917</v>
      </c>
      <c r="AM92" s="135" t="s">
        <v>222</v>
      </c>
      <c r="AN92" s="134" t="str">
        <f>+O92</f>
        <v>Extremo</v>
      </c>
      <c r="AO92" s="393" t="str">
        <f>+AD92</f>
        <v>Extremo</v>
      </c>
    </row>
    <row r="93" spans="2:41" ht="109.5" customHeight="1" x14ac:dyDescent="0.2">
      <c r="B93" s="141"/>
      <c r="C93" s="142"/>
      <c r="D93" s="136"/>
      <c r="E93" s="142"/>
      <c r="F93" s="142"/>
      <c r="G93" s="136"/>
      <c r="H93" s="142"/>
      <c r="I93" s="139"/>
      <c r="J93" s="138"/>
      <c r="K93" s="137"/>
      <c r="L93" s="138">
        <f>IF(NOT(ISERROR(MATCH(K93,_xlfn.ANCHORARRAY(G98),0))),J100&amp;"Por favor no seleccionar los criterios de impacto",K93)</f>
        <v>0</v>
      </c>
      <c r="M93" s="139"/>
      <c r="N93" s="138"/>
      <c r="O93" s="134"/>
      <c r="P93" s="106">
        <v>2</v>
      </c>
      <c r="Q93" s="115" t="s">
        <v>349</v>
      </c>
      <c r="R93" s="108" t="str">
        <f>IF(OR(S93="Preventivo",S93="Detectivo"),"Probabilidad",IF(S93="Correctivo","Impacto",""))</f>
        <v>Probabilidad</v>
      </c>
      <c r="S93" s="78" t="s">
        <v>146</v>
      </c>
      <c r="T93" s="78" t="s">
        <v>152</v>
      </c>
      <c r="U93" s="109" t="str">
        <f t="shared" ref="U93:U97" si="118">IF(AND(S93="Preventivo",T93="Automático"),"50%",IF(AND(S93="Preventivo",T93="Manual"),"40%",IF(AND(S93="Detectivo",T93="Automático"),"40%",IF(AND(S93="Detectivo",T93="Manual"),"30%",IF(AND(S93="Correctivo",T93="Automático"),"35%",IF(AND(S93="Correctivo",T93="Manual"),"25%",""))))))</f>
        <v>30%</v>
      </c>
      <c r="V93" s="78" t="s">
        <v>157</v>
      </c>
      <c r="W93" s="78" t="s">
        <v>159</v>
      </c>
      <c r="X93" s="78" t="s">
        <v>163</v>
      </c>
      <c r="Y93" s="110">
        <f>IFERROR(IF(AND(R92="Probabilidad",R93="Probabilidad"),(AA92-(+AA92*U93)),IF(R93="Probabilidad",(J92-(+J92*U93)),IF(R93="Impacto",AA92,""))),"")</f>
        <v>0.21</v>
      </c>
      <c r="Z93" s="111" t="str">
        <f t="shared" ref="Z93:Z121" si="119">IFERROR(IF(Y93="","",IF(Y93&lt;=0.2,"Rara vez",IF(Y93&lt;=0.4,"Improbable",IF(Y93&lt;=0.6,"Posible",IF(Y93&lt;=0.8,"Probable","Casi Seguro"))))),"")</f>
        <v>Improbable</v>
      </c>
      <c r="AA93" s="109">
        <f t="shared" ref="AA93:AA97" si="120">+Y93</f>
        <v>0.21</v>
      </c>
      <c r="AB93" s="111" t="str">
        <f t="shared" ref="AB93:AB121" si="121">IFERROR(IF(AC93="","",IF(AC93&lt;=0.6,"Moderado",IF(AC93&lt;=0.8,"Mayor","Catastrófico"))),"")</f>
        <v>Catastrófico</v>
      </c>
      <c r="AC93" s="109">
        <f>IFERROR(IF(AND(R92="Impacto",R93="Impacto"),(AC92-(+AC92*U93)),IF(R93="Impacto",(N92-(+N92*U93)),IF(R93="Probabilidad",AC92,""))),"")</f>
        <v>1</v>
      </c>
      <c r="AD93" s="77" t="str">
        <f t="shared" ref="AD93:AD121" si="122">IFERROR(IF(OR(AND(Z93="Rara vez",AB93="Leve"),AND(Z93="Rara vez",AB93="Menor"),AND(Z93="Improbable",AB93="Leve")),"Bajo",IF(OR(AND(Z93="Rara vez",AB93="Moderado"),AND(Z93="Improbable",AB93="Menor"),AND(Z93="Improbable",AB93="Moderado"),AND(Z93="Posible",AB93="Leve"),AND(Z93="Posible",AB93="Menor"),AND(Z93="Posible",AB93="Moderado"),AND(Z93="Probable",AB93="Leve"),AND(Z93="Probable",AB93="Menor")),"Moderado",IF(OR(AND(Z93="Rara vez",AB93="Mayor"),AND(Z93="Improbable",AB93="Mayor"),AND(Z93="Posible",AB93="Mayor"),AND(Z93="Probable",AB93="Moderado"),AND(Z93="Probable",AB93="Mayor"),AND(Z93="Casi Seguro",AB93="Leve"),AND(Z93="Casi Seguro",AB93="Menor"),AND(Z93="Casi Seguro",AB93="Moderado"),AND(Z93="Casi Seguro",AB93="Mayor")),"Alto",IF(OR(AND(Z93="Rara vez",AB93="Catastrófico"),AND(Z93="Improbable",AB93="Catastrófico"),AND(Z93="Posible",AB93="Catastrófico"),AND(Z93="Probable",AB93="Catastrófico"),AND(Z93="Casi Seguro",AB93="Catastrófico")),"Extremo","")))),"")</f>
        <v>Extremo</v>
      </c>
      <c r="AE93" s="78"/>
      <c r="AF93" s="105"/>
      <c r="AG93" s="105"/>
      <c r="AH93" s="118"/>
      <c r="AI93" s="118"/>
      <c r="AJ93" s="118"/>
      <c r="AK93" s="112"/>
      <c r="AL93" s="136"/>
      <c r="AM93" s="136"/>
      <c r="AN93" s="134"/>
      <c r="AO93" s="393"/>
    </row>
    <row r="94" spans="2:41" ht="168" customHeight="1" x14ac:dyDescent="0.2">
      <c r="B94" s="141"/>
      <c r="C94" s="142"/>
      <c r="D94" s="136"/>
      <c r="E94" s="142"/>
      <c r="F94" s="142"/>
      <c r="G94" s="136"/>
      <c r="H94" s="142"/>
      <c r="I94" s="139"/>
      <c r="J94" s="138"/>
      <c r="K94" s="137"/>
      <c r="L94" s="138">
        <f>IF(NOT(ISERROR(MATCH(K94,_xlfn.ANCHORARRAY(G99),0))),J101&amp;"Por favor no seleccionar los criterios de impacto",K94)</f>
        <v>0</v>
      </c>
      <c r="M94" s="139"/>
      <c r="N94" s="138"/>
      <c r="O94" s="134"/>
      <c r="P94" s="106">
        <v>3</v>
      </c>
      <c r="Q94" s="115" t="s">
        <v>473</v>
      </c>
      <c r="R94" s="108" t="str">
        <f>IF(OR(S94="Preventivo",S94="Detectivo"),"Probabilidad",IF(S94="Correctivo","Impacto",""))</f>
        <v>Probabilidad</v>
      </c>
      <c r="S94" s="78" t="s">
        <v>144</v>
      </c>
      <c r="T94" s="78" t="s">
        <v>152</v>
      </c>
      <c r="U94" s="109" t="str">
        <f t="shared" si="118"/>
        <v>40%</v>
      </c>
      <c r="V94" s="78" t="s">
        <v>155</v>
      </c>
      <c r="W94" s="78" t="s">
        <v>159</v>
      </c>
      <c r="X94" s="78" t="s">
        <v>163</v>
      </c>
      <c r="Y94" s="110">
        <f>IFERROR(IF(AND(R93="Probabilidad",R94="Probabilidad"),(AA93-(+AA93*U94)),IF(AND(R93="Impacto",R94="Probabilidad"),(AA92-(+AA92*U94)),IF(R94="Impacto",AA93,""))),"")</f>
        <v>0.126</v>
      </c>
      <c r="Z94" s="111" t="str">
        <f t="shared" si="119"/>
        <v>Rara vez</v>
      </c>
      <c r="AA94" s="109">
        <f t="shared" si="120"/>
        <v>0.126</v>
      </c>
      <c r="AB94" s="111" t="str">
        <f t="shared" si="121"/>
        <v>Catastrófico</v>
      </c>
      <c r="AC94" s="109">
        <f>IFERROR(IF(AND(R93="Impacto",R94="Impacto"),(AC93-(+AC93*U94)),IF(AND(R93="Probabilidad",R94="Impacto"),(AC92-(+AC92*U94)),IF(R94="Probabilidad",AC93,""))),"")</f>
        <v>1</v>
      </c>
      <c r="AD94" s="77" t="str">
        <f t="shared" si="122"/>
        <v>Extremo</v>
      </c>
      <c r="AE94" s="78" t="s">
        <v>173</v>
      </c>
      <c r="AF94" s="105" t="s">
        <v>350</v>
      </c>
      <c r="AG94" s="105" t="s">
        <v>351</v>
      </c>
      <c r="AH94" s="118">
        <v>45657</v>
      </c>
      <c r="AI94" s="118"/>
      <c r="AJ94" s="118"/>
      <c r="AK94" s="112" t="s">
        <v>176</v>
      </c>
      <c r="AL94" s="136"/>
      <c r="AM94" s="136"/>
      <c r="AN94" s="134"/>
      <c r="AO94" s="393"/>
    </row>
    <row r="95" spans="2:41" ht="99.75" x14ac:dyDescent="0.2">
      <c r="B95" s="141"/>
      <c r="C95" s="142"/>
      <c r="D95" s="136"/>
      <c r="E95" s="142"/>
      <c r="F95" s="142"/>
      <c r="G95" s="136"/>
      <c r="H95" s="142"/>
      <c r="I95" s="139"/>
      <c r="J95" s="138"/>
      <c r="K95" s="137"/>
      <c r="L95" s="138">
        <f>IF(NOT(ISERROR(MATCH(K95,_xlfn.ANCHORARRAY(G100),0))),J102&amp;"Por favor no seleccionar los criterios de impacto",K95)</f>
        <v>0</v>
      </c>
      <c r="M95" s="139"/>
      <c r="N95" s="138"/>
      <c r="O95" s="134"/>
      <c r="P95" s="106">
        <v>4</v>
      </c>
      <c r="Q95" s="115"/>
      <c r="R95" s="108" t="str">
        <f t="shared" ref="R95:R97" si="123">IF(OR(S95="Preventivo",S95="Detectivo"),"Probabilidad",IF(S95="Correctivo","Impacto",""))</f>
        <v/>
      </c>
      <c r="S95" s="78"/>
      <c r="T95" s="78"/>
      <c r="U95" s="109" t="str">
        <f t="shared" si="118"/>
        <v/>
      </c>
      <c r="V95" s="78"/>
      <c r="W95" s="78"/>
      <c r="X95" s="78"/>
      <c r="Y95" s="110" t="str">
        <f t="shared" ref="Y95:Y96" si="124">IFERROR(IF(AND(R94="Probabilidad",R95="Probabilidad"),(AA94-(+AA94*U95)),IF(AND(R94="Impacto",R95="Probabilidad"),(AA93-(+AA93*U95)),IF(R95="Impacto",AA94,""))),"")</f>
        <v/>
      </c>
      <c r="Z95" s="111" t="str">
        <f t="shared" si="119"/>
        <v/>
      </c>
      <c r="AA95" s="109" t="str">
        <f t="shared" si="120"/>
        <v/>
      </c>
      <c r="AB95" s="111" t="str">
        <f t="shared" si="121"/>
        <v/>
      </c>
      <c r="AC95" s="109" t="str">
        <f t="shared" ref="AC95:AC97" si="125">IFERROR(IF(AND(R94="Impacto",R95="Impacto"),(AC94-(+AC94*U95)),IF(AND(R94="Probabilidad",R95="Impacto"),(AC93-(+AC93*U95)),IF(R95="Probabilidad",AC94,""))),"")</f>
        <v/>
      </c>
      <c r="AD95" s="77" t="str">
        <f t="shared" si="122"/>
        <v/>
      </c>
      <c r="AE95" s="78"/>
      <c r="AF95" s="105" t="s">
        <v>474</v>
      </c>
      <c r="AG95" s="118" t="s">
        <v>475</v>
      </c>
      <c r="AH95" s="113">
        <v>45519</v>
      </c>
      <c r="AI95" s="113">
        <v>45550</v>
      </c>
      <c r="AJ95" s="105"/>
      <c r="AK95" s="112" t="s">
        <v>176</v>
      </c>
      <c r="AL95" s="136"/>
      <c r="AM95" s="136"/>
      <c r="AN95" s="134"/>
      <c r="AO95" s="393"/>
    </row>
    <row r="96" spans="2:41" x14ac:dyDescent="0.2">
      <c r="B96" s="141"/>
      <c r="C96" s="142"/>
      <c r="D96" s="136"/>
      <c r="E96" s="142"/>
      <c r="F96" s="142"/>
      <c r="G96" s="136"/>
      <c r="H96" s="142"/>
      <c r="I96" s="139"/>
      <c r="J96" s="138"/>
      <c r="K96" s="137"/>
      <c r="L96" s="138">
        <f>IF(NOT(ISERROR(MATCH(K96,_xlfn.ANCHORARRAY(G101),0))),J103&amp;"Por favor no seleccionar los criterios de impacto",K96)</f>
        <v>0</v>
      </c>
      <c r="M96" s="139"/>
      <c r="N96" s="138"/>
      <c r="O96" s="134"/>
      <c r="P96" s="106">
        <v>5</v>
      </c>
      <c r="Q96" s="115"/>
      <c r="R96" s="108" t="str">
        <f t="shared" si="123"/>
        <v/>
      </c>
      <c r="S96" s="78"/>
      <c r="T96" s="78"/>
      <c r="U96" s="109" t="str">
        <f t="shared" si="118"/>
        <v/>
      </c>
      <c r="V96" s="78"/>
      <c r="W96" s="78"/>
      <c r="X96" s="78"/>
      <c r="Y96" s="110" t="str">
        <f t="shared" si="124"/>
        <v/>
      </c>
      <c r="Z96" s="111" t="str">
        <f t="shared" si="119"/>
        <v/>
      </c>
      <c r="AA96" s="109" t="str">
        <f t="shared" si="120"/>
        <v/>
      </c>
      <c r="AB96" s="111" t="str">
        <f t="shared" si="121"/>
        <v/>
      </c>
      <c r="AC96" s="109" t="str">
        <f t="shared" si="125"/>
        <v/>
      </c>
      <c r="AD96" s="77" t="str">
        <f t="shared" si="122"/>
        <v/>
      </c>
      <c r="AE96" s="78"/>
      <c r="AF96" s="105"/>
      <c r="AG96" s="112"/>
      <c r="AH96" s="113"/>
      <c r="AI96" s="113"/>
      <c r="AJ96" s="105"/>
      <c r="AK96" s="112"/>
      <c r="AL96" s="136"/>
      <c r="AM96" s="136"/>
      <c r="AN96" s="134"/>
      <c r="AO96" s="393"/>
    </row>
    <row r="97" spans="2:41" x14ac:dyDescent="0.2">
      <c r="B97" s="141"/>
      <c r="C97" s="142"/>
      <c r="D97" s="136"/>
      <c r="E97" s="142"/>
      <c r="F97" s="142"/>
      <c r="G97" s="136"/>
      <c r="H97" s="142"/>
      <c r="I97" s="139"/>
      <c r="J97" s="138"/>
      <c r="K97" s="137"/>
      <c r="L97" s="138">
        <f>IF(NOT(ISERROR(MATCH(K97,_xlfn.ANCHORARRAY(G102),0))),J104&amp;"Por favor no seleccionar los criterios de impacto",K97)</f>
        <v>0</v>
      </c>
      <c r="M97" s="139"/>
      <c r="N97" s="138"/>
      <c r="O97" s="134"/>
      <c r="P97" s="106">
        <v>6</v>
      </c>
      <c r="Q97" s="115"/>
      <c r="R97" s="108" t="str">
        <f t="shared" si="123"/>
        <v/>
      </c>
      <c r="S97" s="78"/>
      <c r="T97" s="78"/>
      <c r="U97" s="109" t="str">
        <f t="shared" si="118"/>
        <v/>
      </c>
      <c r="V97" s="78"/>
      <c r="W97" s="78"/>
      <c r="X97" s="78"/>
      <c r="Y97" s="110" t="str">
        <f>IFERROR(IF(AND(R96="Probabilidad",R97="Probabilidad"),(AA96-(+AA96*U97)),IF(AND(R96="Impacto",R97="Probabilidad"),(AA95-(+AA95*U97)),IF(R97="Impacto",AA96,""))),"")</f>
        <v/>
      </c>
      <c r="Z97" s="111" t="str">
        <f t="shared" si="119"/>
        <v/>
      </c>
      <c r="AA97" s="109" t="str">
        <f t="shared" si="120"/>
        <v/>
      </c>
      <c r="AB97" s="111" t="str">
        <f t="shared" si="121"/>
        <v/>
      </c>
      <c r="AC97" s="109" t="str">
        <f t="shared" si="125"/>
        <v/>
      </c>
      <c r="AD97" s="77" t="str">
        <f t="shared" si="122"/>
        <v/>
      </c>
      <c r="AE97" s="78"/>
      <c r="AF97" s="105"/>
      <c r="AG97" s="112"/>
      <c r="AH97" s="113"/>
      <c r="AI97" s="113"/>
      <c r="AJ97" s="105"/>
      <c r="AK97" s="112"/>
      <c r="AL97" s="136"/>
      <c r="AM97" s="136"/>
      <c r="AN97" s="134"/>
      <c r="AO97" s="393"/>
    </row>
    <row r="98" spans="2:41" ht="85.5" x14ac:dyDescent="0.2">
      <c r="B98" s="141" t="s">
        <v>352</v>
      </c>
      <c r="C98" s="142" t="s">
        <v>206</v>
      </c>
      <c r="D98" s="142" t="s">
        <v>353</v>
      </c>
      <c r="E98" s="142" t="s">
        <v>345</v>
      </c>
      <c r="F98" s="142" t="s">
        <v>354</v>
      </c>
      <c r="G98" s="136" t="s">
        <v>355</v>
      </c>
      <c r="H98" s="142" t="s">
        <v>67</v>
      </c>
      <c r="I98" s="139" t="str">
        <f t="shared" ref="I98" si="126">IF(H98&lt;=0,"",IF(H98="No se ha presentado en los últimos 5 años","Rara vez",IF(H98="Al menos 1 vez en los últimos 5 años","Improbable",IF(H98="Al menos 1 vez en los últimos 2 años","Posible",IF(H98="Al menos 1 vez en el último año","Probable",IF(H98="Más de 1 vez al año","Casi Seguro"))))))</f>
        <v>Posible</v>
      </c>
      <c r="J98" s="138">
        <f t="shared" ref="J98" si="127">IF(I98="","",IF(I98="Rara vez",0.2,IF(I98="Improbable",0.4,IF(I98="Posible",0.6,IF(I98="Probable",0.8,IF(I98="Casi Seguro",1,))))))</f>
        <v>0.6</v>
      </c>
      <c r="K98" s="137" t="s">
        <v>82</v>
      </c>
      <c r="L98" s="138" t="str">
        <f>IF(NOT(ISERROR(MATCH(K98,'[10]Tabla Impacto'!$B$220:$B$222,0))),'[10]Tabla Impacto'!$F$222&amp;"Por favor no seleccionar los criterios de impacto(Afectación Económica o presupuestal y Pérdida Reputacional)",K98)</f>
        <v xml:space="preserve">Responder afirmativamente de DOCE a DIECINUEVE </v>
      </c>
      <c r="M98" s="139" t="str">
        <f>IF(OR(L98='[10]Tabla Impacto'!$C$5),"Moderado",IF(OR(L98='[10]Tabla Impacto'!$C$6),"Mayor",IF(OR(L98='[10]Tabla Impacto'!$C$7),"Catastrófico","")))</f>
        <v>Catastrófico</v>
      </c>
      <c r="N98" s="138">
        <f>IF(M98="","",IF(M98="Leve",0.2,IF(M98="Menor",0.4,IF(M98="Moderado",0.6,IF(M98="Mayor",0.8,IF(M98="Catastrófico",1,))))))</f>
        <v>1</v>
      </c>
      <c r="O98" s="134" t="str">
        <f t="shared" ref="O98" si="128">IF(OR(AND(I98="Rara vez",M98="Leve"),AND(I98="Rara vez",M98="Menor"),AND(I98="Improbable",M98="Leve")),"Bajo",IF(OR(AND(I98="Rara vez",M98="Moderado"),AND(I98="Improbable",M98="Menor"),AND(I98="Improbable",M98="Moderado"),AND(I98="Posible",M98="Leve"),AND(I98="Posible",M98="Menor"),AND(I98="Posible",M98="Moderado"),AND(I98="Probable",M98="Leve"),AND(I98="Probable",M98="Menor")),"Moderado",IF(OR(AND(I98="Rara vez",M98="Mayor"),AND(I98="Improbable",M98="Mayor"),AND(I98="Posible",M98="Mayor"),AND(I98="Probable",M98="Moderado"),AND(I98="Probable",M98="Mayor"),AND(I98="Casi Seguro",M98="Leve"),AND(I98="Casi Seguro",M98="Menor"),AND(I98="Casi Seguro",M98="Moderado"),AND(I98="Casi Seguro",M98="Mayor")),"Alto",IF(OR(AND(I98="Rara vez",M98="Catastrófico"),AND(I98="Improbable",M98="Catastrófico"),AND(I98="Posible",M98="Catastrófico"),AND(I98="Probable",M98="Catastrófico"),AND(I98="Casi Seguro",M98="Catastrófico")),"Extremo",""))))</f>
        <v>Extremo</v>
      </c>
      <c r="P98" s="106">
        <v>1</v>
      </c>
      <c r="Q98" s="115" t="s">
        <v>356</v>
      </c>
      <c r="R98" s="108" t="str">
        <f>IF(OR(S98="Preventivo",S98="Detectivo"),"Probabilidad",IF(S98="Correctivo","Impacto",""))</f>
        <v>Probabilidad</v>
      </c>
      <c r="S98" s="78" t="s">
        <v>146</v>
      </c>
      <c r="T98" s="78" t="s">
        <v>152</v>
      </c>
      <c r="U98" s="109" t="str">
        <f>IF(AND(S98="Preventivo",T98="Automático"),"50%",IF(AND(S98="Preventivo",T98="Manual"),"40%",IF(AND(S98="Detectivo",T98="Automático"),"40%",IF(AND(S98="Detectivo",T98="Manual"),"30%",IF(AND(S98="Correctivo",T98="Automático"),"35%",IF(AND(S98="Correctivo",T98="Manual"),"25%",""))))))</f>
        <v>30%</v>
      </c>
      <c r="V98" s="78" t="s">
        <v>157</v>
      </c>
      <c r="W98" s="78" t="s">
        <v>159</v>
      </c>
      <c r="X98" s="78" t="s">
        <v>163</v>
      </c>
      <c r="Y98" s="110">
        <f>IFERROR(IF(R98="Probabilidad",(J98-(+J98*U98)),IF(R98="Impacto",J98,"")),"")</f>
        <v>0.42</v>
      </c>
      <c r="Z98" s="111" t="str">
        <f t="shared" si="119"/>
        <v>Posible</v>
      </c>
      <c r="AA98" s="109">
        <f>+Y98</f>
        <v>0.42</v>
      </c>
      <c r="AB98" s="111" t="str">
        <f t="shared" si="121"/>
        <v>Catastrófico</v>
      </c>
      <c r="AC98" s="109">
        <f>IFERROR(IF(R98="Impacto",(N98-(+N98*U98)),IF(R98="Probabilidad",N98,"")),"")</f>
        <v>1</v>
      </c>
      <c r="AD98" s="77" t="str">
        <f t="shared" si="122"/>
        <v>Extremo</v>
      </c>
      <c r="AE98" s="78"/>
      <c r="AF98" s="105"/>
      <c r="AG98" s="105"/>
      <c r="AH98" s="118"/>
      <c r="AI98" s="118"/>
      <c r="AJ98" s="118"/>
      <c r="AK98" s="112"/>
      <c r="AL98" s="135" t="s">
        <v>357</v>
      </c>
      <c r="AM98" s="135" t="s">
        <v>222</v>
      </c>
      <c r="AN98" s="134" t="str">
        <f>+O98</f>
        <v>Extremo</v>
      </c>
      <c r="AO98" s="393" t="str">
        <f>+AD100</f>
        <v>Alto</v>
      </c>
    </row>
    <row r="99" spans="2:41" ht="85.5" x14ac:dyDescent="0.2">
      <c r="B99" s="141"/>
      <c r="C99" s="142"/>
      <c r="D99" s="142"/>
      <c r="E99" s="142"/>
      <c r="F99" s="142"/>
      <c r="G99" s="136"/>
      <c r="H99" s="142"/>
      <c r="I99" s="139"/>
      <c r="J99" s="138"/>
      <c r="K99" s="137"/>
      <c r="L99" s="138">
        <f>IF(NOT(ISERROR(MATCH(K99,_xlfn.ANCHORARRAY(G110),0))),J112&amp;"Por favor no seleccionar los criterios de impacto",K99)</f>
        <v>0</v>
      </c>
      <c r="M99" s="139"/>
      <c r="N99" s="138"/>
      <c r="O99" s="134"/>
      <c r="P99" s="106">
        <v>2</v>
      </c>
      <c r="Q99" s="115" t="s">
        <v>358</v>
      </c>
      <c r="R99" s="108" t="str">
        <f>IF(OR(S99="Preventivo",S99="Detectivo"),"Probabilidad",IF(S99="Correctivo","Impacto",""))</f>
        <v>Probabilidad</v>
      </c>
      <c r="S99" s="78" t="s">
        <v>146</v>
      </c>
      <c r="T99" s="78" t="s">
        <v>152</v>
      </c>
      <c r="U99" s="109" t="str">
        <f t="shared" ref="U99:U102" si="129">IF(AND(S99="Preventivo",T99="Automático"),"50%",IF(AND(S99="Preventivo",T99="Manual"),"40%",IF(AND(S99="Detectivo",T99="Automático"),"40%",IF(AND(S99="Detectivo",T99="Manual"),"30%",IF(AND(S99="Correctivo",T99="Automático"),"35%",IF(AND(S99="Correctivo",T99="Manual"),"25%",""))))))</f>
        <v>30%</v>
      </c>
      <c r="V99" s="78" t="s">
        <v>157</v>
      </c>
      <c r="W99" s="78" t="s">
        <v>159</v>
      </c>
      <c r="X99" s="78" t="s">
        <v>163</v>
      </c>
      <c r="Y99" s="119">
        <f>IFERROR(IF(AND(R98="Probabilidad",R99="Probabilidad"),(AA98-(+AA98*U99)),IF(R99="Probabilidad",(J98-(+J98*U99)),IF(R99="Impacto",AA98,""))),"")</f>
        <v>0.29399999999999998</v>
      </c>
      <c r="Z99" s="111" t="str">
        <f t="shared" si="119"/>
        <v>Improbable</v>
      </c>
      <c r="AA99" s="109">
        <f t="shared" ref="AA99:AA102" si="130">+Y99</f>
        <v>0.29399999999999998</v>
      </c>
      <c r="AB99" s="111" t="str">
        <f t="shared" si="121"/>
        <v>Catastrófico</v>
      </c>
      <c r="AC99" s="109">
        <f>IFERROR(IF(AND(R98="Impacto",R99="Impacto"),(AC98-(+AC98*U99)),IF(R99="Impacto",(N98-(+N98*U99)),IF(R99="Probabilidad",AC98,""))),"")</f>
        <v>1</v>
      </c>
      <c r="AD99" s="77" t="str">
        <f t="shared" si="122"/>
        <v>Extremo</v>
      </c>
      <c r="AE99" s="78"/>
      <c r="AF99" s="105"/>
      <c r="AG99" s="105"/>
      <c r="AH99" s="118"/>
      <c r="AI99" s="118"/>
      <c r="AJ99" s="118"/>
      <c r="AK99" s="112"/>
      <c r="AL99" s="136"/>
      <c r="AM99" s="136"/>
      <c r="AN99" s="134"/>
      <c r="AO99" s="393"/>
    </row>
    <row r="100" spans="2:41" ht="132.75" customHeight="1" x14ac:dyDescent="0.2">
      <c r="B100" s="141"/>
      <c r="C100" s="142"/>
      <c r="D100" s="142"/>
      <c r="E100" s="142"/>
      <c r="F100" s="142"/>
      <c r="G100" s="136"/>
      <c r="H100" s="142"/>
      <c r="I100" s="139"/>
      <c r="J100" s="138"/>
      <c r="K100" s="137"/>
      <c r="L100" s="138">
        <f>IF(NOT(ISERROR(MATCH(K100,_xlfn.ANCHORARRAY(G111),0))),J113&amp;"Por favor no seleccionar los criterios de impacto",K100)</f>
        <v>0</v>
      </c>
      <c r="M100" s="139"/>
      <c r="N100" s="138"/>
      <c r="O100" s="134"/>
      <c r="P100" s="106">
        <v>3</v>
      </c>
      <c r="Q100" s="115" t="s">
        <v>359</v>
      </c>
      <c r="R100" s="120" t="s">
        <v>41</v>
      </c>
      <c r="S100" s="121" t="s">
        <v>148</v>
      </c>
      <c r="T100" s="78" t="s">
        <v>152</v>
      </c>
      <c r="U100" s="109" t="str">
        <f t="shared" si="129"/>
        <v>25%</v>
      </c>
      <c r="V100" s="78" t="s">
        <v>157</v>
      </c>
      <c r="W100" s="78" t="s">
        <v>159</v>
      </c>
      <c r="X100" s="78" t="s">
        <v>163</v>
      </c>
      <c r="Y100" s="110">
        <f>IFERROR(IF(AND(R99="Probabilidad",R100="Probabilidad"),(AA99-(+AA99*U100)),IF(AND(R99="Impacto",R100="Probabilidad"),(AA98-(+AA98*U100)),IF(R100="Impacto",AA99,""))),"")</f>
        <v>0.29399999999999998</v>
      </c>
      <c r="Z100" s="111" t="str">
        <f t="shared" si="119"/>
        <v>Improbable</v>
      </c>
      <c r="AA100" s="109">
        <f t="shared" si="130"/>
        <v>0.29399999999999998</v>
      </c>
      <c r="AB100" s="111" t="str">
        <f t="shared" si="121"/>
        <v>Mayor</v>
      </c>
      <c r="AC100" s="109">
        <f>IFERROR(IF(AND(R99="Impacto",R100="Impacto"),(AC99-(+AC99*U100)),IF(AND(R99="Probabilidad",R100="Impacto"),(AC98-(+AC98*U100)),IF(R100="Probabilidad",AC99,""))),"")</f>
        <v>0.75</v>
      </c>
      <c r="AD100" s="77" t="str">
        <f t="shared" si="122"/>
        <v>Alto</v>
      </c>
      <c r="AE100" s="78"/>
      <c r="AF100" s="105"/>
      <c r="AG100" s="112"/>
      <c r="AH100" s="118"/>
      <c r="AI100" s="118"/>
      <c r="AJ100" s="118"/>
      <c r="AK100" s="112"/>
      <c r="AL100" s="136"/>
      <c r="AM100" s="136"/>
      <c r="AN100" s="134"/>
      <c r="AO100" s="393"/>
    </row>
    <row r="101" spans="2:41" ht="158.25" customHeight="1" x14ac:dyDescent="0.2">
      <c r="B101" s="141"/>
      <c r="C101" s="142"/>
      <c r="D101" s="142"/>
      <c r="E101" s="142"/>
      <c r="F101" s="142"/>
      <c r="G101" s="136"/>
      <c r="H101" s="142"/>
      <c r="I101" s="139"/>
      <c r="J101" s="138"/>
      <c r="K101" s="137"/>
      <c r="L101" s="138">
        <f>IF(NOT(ISERROR(MATCH(K101,_xlfn.ANCHORARRAY(G112),0))),J114&amp;"Por favor no seleccionar los criterios de impacto",K101)</f>
        <v>0</v>
      </c>
      <c r="M101" s="139"/>
      <c r="N101" s="138"/>
      <c r="O101" s="134"/>
      <c r="P101" s="106">
        <v>4</v>
      </c>
      <c r="Q101" s="115" t="s">
        <v>476</v>
      </c>
      <c r="R101" s="108" t="str">
        <f t="shared" ref="R101" si="131">IF(OR(S101="Preventivo",S101="Detectivo"),"Probabilidad",IF(S101="Correctivo","Impacto",""))</f>
        <v>Probabilidad</v>
      </c>
      <c r="S101" s="130" t="s">
        <v>146</v>
      </c>
      <c r="T101" s="78" t="s">
        <v>152</v>
      </c>
      <c r="U101" s="109" t="str">
        <f t="shared" si="129"/>
        <v>30%</v>
      </c>
      <c r="V101" s="78" t="s">
        <v>157</v>
      </c>
      <c r="W101" s="78" t="s">
        <v>159</v>
      </c>
      <c r="X101" s="78" t="s">
        <v>195</v>
      </c>
      <c r="Y101" s="110">
        <f t="shared" ref="Y101:Y102" si="132">IFERROR(IF(AND(R100="Probabilidad",R101="Probabilidad"),(AA100-(+AA100*U101)),IF(AND(R100="Impacto",R101="Probabilidad"),(AA99-(+AA99*U101)),IF(R101="Impacto",AA100,""))),"")</f>
        <v>0.20579999999999998</v>
      </c>
      <c r="Z101" s="111" t="str">
        <f t="shared" si="119"/>
        <v>Improbable</v>
      </c>
      <c r="AA101" s="109">
        <f t="shared" si="130"/>
        <v>0.20579999999999998</v>
      </c>
      <c r="AB101" s="111" t="str">
        <f t="shared" si="121"/>
        <v>Mayor</v>
      </c>
      <c r="AC101" s="109">
        <f t="shared" ref="AC101:AC102" si="133">IFERROR(IF(AND(R100="Impacto",R101="Impacto"),(AC100-(+AC100*U101)),IF(AND(R100="Probabilidad",R101="Impacto"),(AC99-(+AC99*U101)),IF(R101="Probabilidad",AC100,""))),"")</f>
        <v>0.75</v>
      </c>
      <c r="AD101" s="77" t="str">
        <f t="shared" si="122"/>
        <v>Alto</v>
      </c>
      <c r="AE101" s="78" t="s">
        <v>171</v>
      </c>
      <c r="AF101" s="105" t="s">
        <v>360</v>
      </c>
      <c r="AG101" s="112" t="s">
        <v>351</v>
      </c>
      <c r="AH101" s="118">
        <v>45657</v>
      </c>
      <c r="AI101" s="118"/>
      <c r="AJ101" s="118"/>
      <c r="AK101" s="112" t="s">
        <v>176</v>
      </c>
      <c r="AL101" s="136"/>
      <c r="AM101" s="136"/>
      <c r="AN101" s="134"/>
      <c r="AO101" s="393"/>
    </row>
    <row r="102" spans="2:41" ht="114" x14ac:dyDescent="0.2">
      <c r="B102" s="141"/>
      <c r="C102" s="142"/>
      <c r="D102" s="142"/>
      <c r="E102" s="142"/>
      <c r="F102" s="142"/>
      <c r="G102" s="136"/>
      <c r="H102" s="142"/>
      <c r="I102" s="139"/>
      <c r="J102" s="138"/>
      <c r="K102" s="137"/>
      <c r="L102" s="138">
        <f>IF(NOT(ISERROR(MATCH(K102,_xlfn.ANCHORARRAY(G113),0))),J115&amp;"Por favor no seleccionar los criterios de impacto",K102)</f>
        <v>0</v>
      </c>
      <c r="M102" s="139"/>
      <c r="N102" s="138"/>
      <c r="O102" s="134"/>
      <c r="P102" s="106">
        <v>5</v>
      </c>
      <c r="Q102" s="115"/>
      <c r="R102" s="120"/>
      <c r="S102" s="121"/>
      <c r="T102" s="78"/>
      <c r="U102" s="109" t="str">
        <f t="shared" si="129"/>
        <v/>
      </c>
      <c r="V102" s="78"/>
      <c r="W102" s="78"/>
      <c r="X102" s="78"/>
      <c r="Y102" s="110" t="str">
        <f t="shared" si="132"/>
        <v/>
      </c>
      <c r="Z102" s="111" t="str">
        <f t="shared" si="119"/>
        <v/>
      </c>
      <c r="AA102" s="109" t="str">
        <f t="shared" si="130"/>
        <v/>
      </c>
      <c r="AB102" s="111" t="str">
        <f t="shared" si="121"/>
        <v/>
      </c>
      <c r="AC102" s="109" t="str">
        <f t="shared" si="133"/>
        <v/>
      </c>
      <c r="AD102" s="77" t="str">
        <f t="shared" si="122"/>
        <v/>
      </c>
      <c r="AE102" s="78"/>
      <c r="AF102" s="105" t="s">
        <v>477</v>
      </c>
      <c r="AG102" s="118" t="s">
        <v>475</v>
      </c>
      <c r="AH102" s="113">
        <v>45586</v>
      </c>
      <c r="AI102" s="113"/>
      <c r="AJ102" s="105"/>
      <c r="AK102" s="112" t="s">
        <v>176</v>
      </c>
      <c r="AL102" s="136"/>
      <c r="AM102" s="136"/>
      <c r="AN102" s="134"/>
      <c r="AO102" s="393"/>
    </row>
    <row r="103" spans="2:41" x14ac:dyDescent="0.2">
      <c r="B103" s="141"/>
      <c r="C103" s="142"/>
      <c r="D103" s="142"/>
      <c r="E103" s="142"/>
      <c r="F103" s="142"/>
      <c r="G103" s="136"/>
      <c r="H103" s="142"/>
      <c r="I103" s="139"/>
      <c r="J103" s="138"/>
      <c r="K103" s="137"/>
      <c r="L103" s="138">
        <f>IF(NOT(ISERROR(MATCH(K103,_xlfn.ANCHORARRAY(G114),0))),J116&amp;"Por favor no seleccionar los criterios de impacto",K103)</f>
        <v>0</v>
      </c>
      <c r="M103" s="139"/>
      <c r="N103" s="138"/>
      <c r="O103" s="134"/>
      <c r="P103" s="106">
        <v>6</v>
      </c>
      <c r="Q103" s="115"/>
      <c r="R103" s="108"/>
      <c r="S103" s="78"/>
      <c r="T103" s="78"/>
      <c r="U103" s="109"/>
      <c r="V103" s="78"/>
      <c r="W103" s="78"/>
      <c r="X103" s="78"/>
      <c r="Y103" s="110"/>
      <c r="Z103" s="111"/>
      <c r="AA103" s="109"/>
      <c r="AB103" s="111"/>
      <c r="AC103" s="109"/>
      <c r="AD103" s="77"/>
      <c r="AE103" s="78"/>
      <c r="AF103" s="105"/>
      <c r="AG103" s="112"/>
      <c r="AH103" s="113"/>
      <c r="AI103" s="113"/>
      <c r="AJ103" s="105"/>
      <c r="AK103" s="112"/>
      <c r="AL103" s="136"/>
      <c r="AM103" s="136"/>
      <c r="AN103" s="134"/>
      <c r="AO103" s="393"/>
    </row>
    <row r="104" spans="2:41" ht="102" x14ac:dyDescent="0.2">
      <c r="B104" s="141" t="s">
        <v>361</v>
      </c>
      <c r="C104" s="142" t="s">
        <v>206</v>
      </c>
      <c r="D104" s="142" t="s">
        <v>362</v>
      </c>
      <c r="E104" s="142" t="s">
        <v>345</v>
      </c>
      <c r="F104" s="142" t="s">
        <v>363</v>
      </c>
      <c r="G104" s="136" t="s">
        <v>364</v>
      </c>
      <c r="H104" s="142" t="s">
        <v>67</v>
      </c>
      <c r="I104" s="139" t="str">
        <f t="shared" ref="I104" si="134">IF(H104&lt;=0,"",IF(H104="No se ha presentado en los últimos 5 años","Rara vez",IF(H104="Al menos 1 vez en los últimos 5 años","Improbable",IF(H104="Al menos 1 vez en los últimos 2 años","Posible",IF(H104="Al menos 1 vez en el último año","Probable",IF(H104="Más de 1 vez al año","Casi Seguro"))))))</f>
        <v>Posible</v>
      </c>
      <c r="J104" s="138">
        <f t="shared" ref="J104" si="135">IF(I104="","",IF(I104="Rara vez",0.2,IF(I104="Improbable",0.4,IF(I104="Posible",0.6,IF(I104="Probable",0.8,IF(I104="Casi Seguro",1,))))))</f>
        <v>0.6</v>
      </c>
      <c r="K104" s="137" t="s">
        <v>82</v>
      </c>
      <c r="L104" s="138" t="str">
        <f>IF(NOT(ISERROR(MATCH(K104,'[10]Tabla Impacto'!$B$220:$B$222,0))),'[10]Tabla Impacto'!$F$222&amp;"Por favor no seleccionar los criterios de impacto(Afectación Económica o presupuestal y Pérdida Reputacional)",K104)</f>
        <v xml:space="preserve">Responder afirmativamente de DOCE a DIECINUEVE </v>
      </c>
      <c r="M104" s="139" t="str">
        <f>IF(OR(L104='[10]Tabla Impacto'!$C$5),"Moderado",IF(OR(L104='[10]Tabla Impacto'!$C$6),"Mayor",IF(OR(L104='[10]Tabla Impacto'!$C$7),"Catastrófico","")))</f>
        <v>Catastrófico</v>
      </c>
      <c r="N104" s="138">
        <f>IF(M104="","",IF(M104="Leve",0.2,IF(M104="Menor",0.4,IF(M104="Moderado",0.6,IF(M104="Mayor",0.8,IF(M104="Catastrófico",1,))))))</f>
        <v>1</v>
      </c>
      <c r="O104" s="134" t="str">
        <f t="shared" ref="O104" si="136">IF(OR(AND(I104="Rara vez",M104="Leve"),AND(I104="Rara vez",M104="Menor"),AND(I104="Improbable",M104="Leve")),"Bajo",IF(OR(AND(I104="Rara vez",M104="Moderado"),AND(I104="Improbable",M104="Menor"),AND(I104="Improbable",M104="Moderado"),AND(I104="Posible",M104="Leve"),AND(I104="Posible",M104="Menor"),AND(I104="Posible",M104="Moderado"),AND(I104="Probable",M104="Leve"),AND(I104="Probable",M104="Menor")),"Moderado",IF(OR(AND(I104="Rara vez",M104="Mayor"),AND(I104="Improbable",M104="Mayor"),AND(I104="Posible",M104="Mayor"),AND(I104="Probable",M104="Moderado"),AND(I104="Probable",M104="Mayor"),AND(I104="Casi Seguro",M104="Leve"),AND(I104="Casi Seguro",M104="Menor"),AND(I104="Casi Seguro",M104="Moderado"),AND(I104="Casi Seguro",M104="Mayor")),"Alto",IF(OR(AND(I104="Rara vez",M104="Catastrófico"),AND(I104="Improbable",M104="Catastrófico"),AND(I104="Posible",M104="Catastrófico"),AND(I104="Probable",M104="Catastrófico"),AND(I104="Casi Seguro",M104="Catastrófico")),"Extremo",""))))</f>
        <v>Extremo</v>
      </c>
      <c r="P104" s="106">
        <v>1</v>
      </c>
      <c r="Q104" s="107" t="s">
        <v>365</v>
      </c>
      <c r="R104" s="108" t="str">
        <f>IF(OR(S104="Preventivo",S104="Detectivo"),"Probabilidad",IF(S104="Correctivo","Impacto",""))</f>
        <v>Probabilidad</v>
      </c>
      <c r="S104" s="78" t="s">
        <v>144</v>
      </c>
      <c r="T104" s="78" t="s">
        <v>152</v>
      </c>
      <c r="U104" s="109" t="str">
        <f>IF(AND(S104="Preventivo",T104="Automático"),"50%",IF(AND(S104="Preventivo",T104="Manual"),"40%",IF(AND(S104="Detectivo",T104="Automático"),"40%",IF(AND(S104="Detectivo",T104="Manual"),"30%",IF(AND(S104="Correctivo",T104="Automático"),"35%",IF(AND(S104="Correctivo",T104="Manual"),"25%",""))))))</f>
        <v>40%</v>
      </c>
      <c r="V104" s="78" t="s">
        <v>157</v>
      </c>
      <c r="W104" s="78" t="s">
        <v>159</v>
      </c>
      <c r="X104" s="78" t="s">
        <v>163</v>
      </c>
      <c r="Y104" s="110">
        <f>IFERROR(IF(R104="Probabilidad",(J104-(+J104*U104)),IF(R104="Impacto",J104,"")),"")</f>
        <v>0.36</v>
      </c>
      <c r="Z104" s="111" t="str">
        <f t="shared" si="119"/>
        <v>Improbable</v>
      </c>
      <c r="AA104" s="109">
        <f>+Y104</f>
        <v>0.36</v>
      </c>
      <c r="AB104" s="111" t="str">
        <f t="shared" si="121"/>
        <v>Catastrófico</v>
      </c>
      <c r="AC104" s="109">
        <f>IFERROR(IF(R104="Impacto",(N104-(+N104*U104)),IF(R104="Probabilidad",N104,"")),"")</f>
        <v>1</v>
      </c>
      <c r="AD104" s="77" t="str">
        <f t="shared" si="122"/>
        <v>Extremo</v>
      </c>
      <c r="AE104" s="78"/>
      <c r="AF104" s="105"/>
      <c r="AG104" s="105"/>
      <c r="AH104" s="118"/>
      <c r="AI104" s="118"/>
      <c r="AJ104" s="118"/>
      <c r="AK104" s="112"/>
      <c r="AL104" s="135" t="s">
        <v>357</v>
      </c>
      <c r="AM104" s="135" t="s">
        <v>222</v>
      </c>
      <c r="AN104" s="134" t="str">
        <f>O104</f>
        <v>Extremo</v>
      </c>
      <c r="AO104" s="393" t="str">
        <f>AD108</f>
        <v>Alto</v>
      </c>
    </row>
    <row r="105" spans="2:41" ht="127.5" x14ac:dyDescent="0.2">
      <c r="B105" s="141"/>
      <c r="C105" s="142"/>
      <c r="D105" s="142"/>
      <c r="E105" s="142"/>
      <c r="F105" s="142"/>
      <c r="G105" s="136"/>
      <c r="H105" s="142"/>
      <c r="I105" s="139"/>
      <c r="J105" s="138"/>
      <c r="K105" s="137"/>
      <c r="L105" s="138">
        <f>IF(NOT(ISERROR(MATCH(K105,_xlfn.ANCHORARRAY(G116),0))),J118&amp;"Por favor no seleccionar los criterios de impacto",K105)</f>
        <v>0</v>
      </c>
      <c r="M105" s="139"/>
      <c r="N105" s="138"/>
      <c r="O105" s="134"/>
      <c r="P105" s="106">
        <v>2</v>
      </c>
      <c r="Q105" s="107" t="s">
        <v>366</v>
      </c>
      <c r="R105" s="108" t="str">
        <f>IF(OR(S105="Preventivo",S105="Detectivo"),"Probabilidad",IF(S105="Correctivo","Impacto",""))</f>
        <v>Probabilidad</v>
      </c>
      <c r="S105" s="78" t="s">
        <v>144</v>
      </c>
      <c r="T105" s="78" t="s">
        <v>152</v>
      </c>
      <c r="U105" s="109" t="str">
        <f t="shared" ref="U105:U109" si="137">IF(AND(S105="Preventivo",T105="Automático"),"50%",IF(AND(S105="Preventivo",T105="Manual"),"40%",IF(AND(S105="Detectivo",T105="Automático"),"40%",IF(AND(S105="Detectivo",T105="Manual"),"30%",IF(AND(S105="Correctivo",T105="Automático"),"35%",IF(AND(S105="Correctivo",T105="Manual"),"25%",""))))))</f>
        <v>40%</v>
      </c>
      <c r="V105" s="78" t="s">
        <v>157</v>
      </c>
      <c r="W105" s="78" t="s">
        <v>159</v>
      </c>
      <c r="X105" s="78" t="s">
        <v>163</v>
      </c>
      <c r="Y105" s="110">
        <f>IFERROR(IF(AND(R104="Probabilidad",R105="Probabilidad"),(AA104-(+AA104*U105)),IF(R105="Probabilidad",(J104-(+J104*U105)),IF(R105="Impacto",AA104,""))),"")</f>
        <v>0.216</v>
      </c>
      <c r="Z105" s="111" t="str">
        <f t="shared" si="119"/>
        <v>Improbable</v>
      </c>
      <c r="AA105" s="109">
        <f t="shared" ref="AA105:AA109" si="138">+Y105</f>
        <v>0.216</v>
      </c>
      <c r="AB105" s="111" t="str">
        <f t="shared" si="121"/>
        <v>Catastrófico</v>
      </c>
      <c r="AC105" s="109">
        <f>IFERROR(IF(AND(R104="Impacto",R105="Impacto"),(AC104-(+AC104*U105)),IF(R105="Impacto",(N104-(+N104*U105)),IF(R105="Probabilidad",AC104,""))),"")</f>
        <v>1</v>
      </c>
      <c r="AD105" s="77" t="str">
        <f t="shared" si="122"/>
        <v>Extremo</v>
      </c>
      <c r="AE105" s="78"/>
      <c r="AF105" s="105"/>
      <c r="AG105" s="112"/>
      <c r="AH105" s="113"/>
      <c r="AI105" s="113"/>
      <c r="AJ105" s="105"/>
      <c r="AK105" s="112"/>
      <c r="AL105" s="136"/>
      <c r="AM105" s="136"/>
      <c r="AN105" s="134"/>
      <c r="AO105" s="393"/>
    </row>
    <row r="106" spans="2:41" ht="122.25" customHeight="1" x14ac:dyDescent="0.2">
      <c r="B106" s="141"/>
      <c r="C106" s="142"/>
      <c r="D106" s="142"/>
      <c r="E106" s="142"/>
      <c r="F106" s="142"/>
      <c r="G106" s="136"/>
      <c r="H106" s="142"/>
      <c r="I106" s="139"/>
      <c r="J106" s="138"/>
      <c r="K106" s="137"/>
      <c r="L106" s="138">
        <f>IF(NOT(ISERROR(MATCH(K106,_xlfn.ANCHORARRAY(G117),0))),J119&amp;"Por favor no seleccionar los criterios de impacto",K106)</f>
        <v>0</v>
      </c>
      <c r="M106" s="139"/>
      <c r="N106" s="138"/>
      <c r="O106" s="134"/>
      <c r="P106" s="106">
        <v>3</v>
      </c>
      <c r="Q106" s="107" t="s">
        <v>367</v>
      </c>
      <c r="R106" s="120" t="s">
        <v>41</v>
      </c>
      <c r="S106" s="121" t="s">
        <v>148</v>
      </c>
      <c r="T106" s="78" t="s">
        <v>152</v>
      </c>
      <c r="U106" s="109" t="str">
        <f t="shared" si="137"/>
        <v>25%</v>
      </c>
      <c r="V106" s="78" t="s">
        <v>155</v>
      </c>
      <c r="W106" s="78" t="s">
        <v>159</v>
      </c>
      <c r="X106" s="78" t="s">
        <v>163</v>
      </c>
      <c r="Y106" s="110">
        <f>IFERROR(IF(AND(R105="Probabilidad",R106="Probabilidad"),(AA105-(+AA105*U106)),IF(AND(R105="Impacto",R106="Probabilidad"),(AA104-(+AA104*U106)),IF(R106="Impacto",AA105,""))),"")</f>
        <v>0.216</v>
      </c>
      <c r="Z106" s="111" t="str">
        <f t="shared" si="119"/>
        <v>Improbable</v>
      </c>
      <c r="AA106" s="109">
        <f t="shared" si="138"/>
        <v>0.216</v>
      </c>
      <c r="AB106" s="111" t="str">
        <f t="shared" si="121"/>
        <v>Mayor</v>
      </c>
      <c r="AC106" s="109">
        <f>IFERROR(IF(AND(R105="Impacto",R106="Impacto"),(AC105-(+AC105*U106)),IF(AND(R105="Probabilidad",R106="Impacto"),(AC104-(+AC104*U106)),IF(R106="Probabilidad",AC105,""))),"")</f>
        <v>0.75</v>
      </c>
      <c r="AD106" s="77" t="str">
        <f t="shared" si="122"/>
        <v>Alto</v>
      </c>
      <c r="AE106" s="78"/>
      <c r="AF106" s="105"/>
      <c r="AG106" s="112"/>
      <c r="AH106" s="113"/>
      <c r="AI106" s="113"/>
      <c r="AJ106" s="105"/>
      <c r="AK106" s="112"/>
      <c r="AL106" s="136"/>
      <c r="AM106" s="136"/>
      <c r="AN106" s="134"/>
      <c r="AO106" s="393"/>
    </row>
    <row r="107" spans="2:41" ht="89.25" x14ac:dyDescent="0.2">
      <c r="B107" s="141"/>
      <c r="C107" s="142"/>
      <c r="D107" s="142"/>
      <c r="E107" s="142"/>
      <c r="F107" s="142"/>
      <c r="G107" s="136"/>
      <c r="H107" s="142"/>
      <c r="I107" s="139"/>
      <c r="J107" s="138"/>
      <c r="K107" s="137"/>
      <c r="L107" s="138">
        <f>IF(NOT(ISERROR(MATCH(K107,_xlfn.ANCHORARRAY(G118),0))),J120&amp;"Por favor no seleccionar los criterios de impacto",K107)</f>
        <v>0</v>
      </c>
      <c r="M107" s="139"/>
      <c r="N107" s="138"/>
      <c r="O107" s="134"/>
      <c r="P107" s="106">
        <v>4</v>
      </c>
      <c r="Q107" s="107" t="s">
        <v>369</v>
      </c>
      <c r="R107" s="108" t="str">
        <f t="shared" ref="R107:R109" si="139">IF(OR(S107="Preventivo",S107="Detectivo"),"Probabilidad",IF(S107="Correctivo","Impacto",""))</f>
        <v>Probabilidad</v>
      </c>
      <c r="S107" s="78" t="s">
        <v>146</v>
      </c>
      <c r="T107" s="78" t="s">
        <v>152</v>
      </c>
      <c r="U107" s="109" t="str">
        <f t="shared" si="137"/>
        <v>30%</v>
      </c>
      <c r="V107" s="78" t="s">
        <v>155</v>
      </c>
      <c r="W107" s="78" t="s">
        <v>159</v>
      </c>
      <c r="X107" s="78" t="s">
        <v>163</v>
      </c>
      <c r="Y107" s="110">
        <f t="shared" ref="Y107:Y109" si="140">IFERROR(IF(AND(R106="Probabilidad",R107="Probabilidad"),(AA106-(+AA106*U107)),IF(AND(R106="Impacto",R107="Probabilidad"),(AA105-(+AA105*U107)),IF(R107="Impacto",AA106,""))),"")</f>
        <v>0.1512</v>
      </c>
      <c r="Z107" s="111" t="str">
        <f t="shared" si="119"/>
        <v>Rara vez</v>
      </c>
      <c r="AA107" s="109">
        <f t="shared" si="138"/>
        <v>0.1512</v>
      </c>
      <c r="AB107" s="111" t="str">
        <f t="shared" si="121"/>
        <v>Mayor</v>
      </c>
      <c r="AC107" s="109">
        <f t="shared" ref="AC107:AC109" si="141">IFERROR(IF(AND(R106="Impacto",R107="Impacto"),(AC106-(+AC106*U107)),IF(AND(R106="Probabilidad",R107="Impacto"),(AC105-(+AC105*U107)),IF(R107="Probabilidad",AC106,""))),"")</f>
        <v>0.75</v>
      </c>
      <c r="AD107" s="77" t="str">
        <f t="shared" si="122"/>
        <v>Alto</v>
      </c>
      <c r="AE107" s="78" t="s">
        <v>173</v>
      </c>
      <c r="AF107" s="105" t="s">
        <v>368</v>
      </c>
      <c r="AG107" s="112" t="s">
        <v>351</v>
      </c>
      <c r="AH107" s="113">
        <v>45657</v>
      </c>
      <c r="AI107" s="113"/>
      <c r="AJ107" s="105"/>
      <c r="AK107" s="112" t="s">
        <v>176</v>
      </c>
      <c r="AL107" s="136"/>
      <c r="AM107" s="136"/>
      <c r="AN107" s="134"/>
      <c r="AO107" s="393"/>
    </row>
    <row r="108" spans="2:41" ht="146.25" customHeight="1" x14ac:dyDescent="0.2">
      <c r="B108" s="141"/>
      <c r="C108" s="142"/>
      <c r="D108" s="142"/>
      <c r="E108" s="142"/>
      <c r="F108" s="142"/>
      <c r="G108" s="136"/>
      <c r="H108" s="142"/>
      <c r="I108" s="139"/>
      <c r="J108" s="138"/>
      <c r="K108" s="137"/>
      <c r="L108" s="138">
        <f>IF(NOT(ISERROR(MATCH(K108,_xlfn.ANCHORARRAY(G119),0))),J121&amp;"Por favor no seleccionar los criterios de impacto",K108)</f>
        <v>0</v>
      </c>
      <c r="M108" s="139"/>
      <c r="N108" s="138"/>
      <c r="O108" s="134"/>
      <c r="P108" s="106">
        <v>5</v>
      </c>
      <c r="Q108" s="107" t="s">
        <v>370</v>
      </c>
      <c r="R108" s="108" t="str">
        <f t="shared" si="139"/>
        <v>Probabilidad</v>
      </c>
      <c r="S108" s="78" t="s">
        <v>146</v>
      </c>
      <c r="T108" s="78" t="s">
        <v>152</v>
      </c>
      <c r="U108" s="109" t="str">
        <f t="shared" si="137"/>
        <v>30%</v>
      </c>
      <c r="V108" s="78" t="s">
        <v>157</v>
      </c>
      <c r="W108" s="78" t="s">
        <v>159</v>
      </c>
      <c r="X108" s="78" t="s">
        <v>163</v>
      </c>
      <c r="Y108" s="119">
        <f t="shared" si="140"/>
        <v>0.10584</v>
      </c>
      <c r="Z108" s="111" t="str">
        <f t="shared" si="119"/>
        <v>Rara vez</v>
      </c>
      <c r="AA108" s="109">
        <f t="shared" si="138"/>
        <v>0.10584</v>
      </c>
      <c r="AB108" s="111" t="str">
        <f t="shared" si="121"/>
        <v>Mayor</v>
      </c>
      <c r="AC108" s="109">
        <f t="shared" si="141"/>
        <v>0.75</v>
      </c>
      <c r="AD108" s="77" t="str">
        <f t="shared" si="122"/>
        <v>Alto</v>
      </c>
      <c r="AE108" s="78" t="s">
        <v>173</v>
      </c>
      <c r="AF108" s="122" t="s">
        <v>371</v>
      </c>
      <c r="AG108" s="105" t="s">
        <v>372</v>
      </c>
      <c r="AH108" s="113">
        <v>45657</v>
      </c>
      <c r="AI108" s="113"/>
      <c r="AJ108" s="105"/>
      <c r="AK108" s="112" t="s">
        <v>176</v>
      </c>
      <c r="AL108" s="136"/>
      <c r="AM108" s="136"/>
      <c r="AN108" s="134"/>
      <c r="AO108" s="393"/>
    </row>
    <row r="109" spans="2:41" x14ac:dyDescent="0.2">
      <c r="B109" s="141"/>
      <c r="C109" s="142"/>
      <c r="D109" s="142"/>
      <c r="E109" s="142"/>
      <c r="F109" s="142"/>
      <c r="G109" s="136"/>
      <c r="H109" s="142"/>
      <c r="I109" s="139"/>
      <c r="J109" s="138"/>
      <c r="K109" s="137"/>
      <c r="L109" s="138">
        <f>IF(NOT(ISERROR(MATCH(K109,_xlfn.ANCHORARRAY(G120),0))),J122&amp;"Por favor no seleccionar los criterios de impacto",K109)</f>
        <v>0</v>
      </c>
      <c r="M109" s="139"/>
      <c r="N109" s="138"/>
      <c r="O109" s="134"/>
      <c r="P109" s="106">
        <v>6</v>
      </c>
      <c r="Q109" s="115"/>
      <c r="R109" s="108" t="str">
        <f t="shared" si="139"/>
        <v/>
      </c>
      <c r="S109" s="78"/>
      <c r="T109" s="78"/>
      <c r="U109" s="109" t="str">
        <f t="shared" si="137"/>
        <v/>
      </c>
      <c r="V109" s="78"/>
      <c r="W109" s="78"/>
      <c r="X109" s="78"/>
      <c r="Y109" s="110" t="str">
        <f t="shared" si="140"/>
        <v/>
      </c>
      <c r="Z109" s="111" t="str">
        <f t="shared" si="119"/>
        <v/>
      </c>
      <c r="AA109" s="109" t="str">
        <f t="shared" si="138"/>
        <v/>
      </c>
      <c r="AB109" s="111" t="str">
        <f t="shared" si="121"/>
        <v/>
      </c>
      <c r="AC109" s="109" t="str">
        <f t="shared" si="141"/>
        <v/>
      </c>
      <c r="AD109" s="77" t="str">
        <f t="shared" si="122"/>
        <v/>
      </c>
      <c r="AE109" s="78"/>
      <c r="AF109" s="105"/>
      <c r="AG109" s="112"/>
      <c r="AH109" s="113"/>
      <c r="AI109" s="113"/>
      <c r="AJ109" s="105"/>
      <c r="AK109" s="112"/>
      <c r="AL109" s="136"/>
      <c r="AM109" s="136"/>
      <c r="AN109" s="134"/>
      <c r="AO109" s="393"/>
    </row>
    <row r="110" spans="2:41" ht="75" x14ac:dyDescent="0.2">
      <c r="B110" s="141" t="s">
        <v>373</v>
      </c>
      <c r="C110" s="142" t="s">
        <v>206</v>
      </c>
      <c r="D110" s="142" t="s">
        <v>374</v>
      </c>
      <c r="E110" s="142" t="s">
        <v>345</v>
      </c>
      <c r="F110" s="142" t="s">
        <v>262</v>
      </c>
      <c r="G110" s="136" t="s">
        <v>364</v>
      </c>
      <c r="H110" s="142" t="s">
        <v>61</v>
      </c>
      <c r="I110" s="139" t="str">
        <f t="shared" ref="I110" si="142">IF(H110&lt;=0,"",IF(H110="No se ha presentado en los últimos 5 años","Rara vez",IF(H110="Al menos 1 vez en los últimos 5 años","Improbable",IF(H110="Al menos 1 vez en los últimos 2 años","Posible",IF(H110="Al menos 1 vez en el último año","Probable",IF(H110="Más de 1 vez al año","Casi Seguro"))))))</f>
        <v>Rara vez</v>
      </c>
      <c r="J110" s="138">
        <f t="shared" ref="J110" si="143">IF(I110="","",IF(I110="Rara vez",0.2,IF(I110="Improbable",0.4,IF(I110="Posible",0.6,IF(I110="Probable",0.8,IF(I110="Casi Seguro",1,))))))</f>
        <v>0.2</v>
      </c>
      <c r="K110" s="137" t="s">
        <v>76</v>
      </c>
      <c r="L110" s="138" t="str">
        <f>IF(NOT(ISERROR(MATCH(K110,'[10]Tabla Impacto'!$B$220:$B$222,0))),'[10]Tabla Impacto'!$F$222&amp;"Por favor no seleccionar los criterios de impacto(Afectación Económica o presupuestal y Pérdida Reputacional)",K110)</f>
        <v>Responder afirmativamente de SEIS a ONCE</v>
      </c>
      <c r="M110" s="139" t="str">
        <f>IF(OR(L110='[10]Tabla Impacto'!$C$5),"Moderado",IF(OR(L110='[10]Tabla Impacto'!$C$6),"Mayor",IF(OR(L110='[10]Tabla Impacto'!$C$7),"Catastrófico","")))</f>
        <v>Mayor</v>
      </c>
      <c r="N110" s="138">
        <f>IF(M110="","",IF(M110="Leve",0.2,IF(M110="Menor",0.4,IF(M110="Moderado",0.6,IF(M110="Mayor",0.8,IF(M110="Catastrófico",1,))))))</f>
        <v>0.8</v>
      </c>
      <c r="O110" s="134" t="str">
        <f t="shared" ref="O110" si="144">IF(OR(AND(I110="Rara vez",M110="Leve"),AND(I110="Rara vez",M110="Menor"),AND(I110="Improbable",M110="Leve")),"Bajo",IF(OR(AND(I110="Rara vez",M110="Moderado"),AND(I110="Improbable",M110="Menor"),AND(I110="Improbable",M110="Moderado"),AND(I110="Posible",M110="Leve"),AND(I110="Posible",M110="Menor"),AND(I110="Posible",M110="Moderado"),AND(I110="Probable",M110="Leve"),AND(I110="Probable",M110="Menor")),"Moderado",IF(OR(AND(I110="Rara vez",M110="Mayor"),AND(I110="Improbable",M110="Mayor"),AND(I110="Posible",M110="Mayor"),AND(I110="Probable",M110="Moderado"),AND(I110="Probable",M110="Mayor"),AND(I110="Casi Seguro",M110="Leve"),AND(I110="Casi Seguro",M110="Menor"),AND(I110="Casi Seguro",M110="Moderado"),AND(I110="Casi Seguro",M110="Mayor")),"Alto",IF(OR(AND(I110="Rara vez",M110="Catastrófico"),AND(I110="Improbable",M110="Catastrófico"),AND(I110="Posible",M110="Catastrófico"),AND(I110="Probable",M110="Catastrófico"),AND(I110="Casi Seguro",M110="Catastrófico")),"Extremo",""))))</f>
        <v>Alto</v>
      </c>
      <c r="P110" s="106">
        <v>1</v>
      </c>
      <c r="Q110" s="115" t="s">
        <v>482</v>
      </c>
      <c r="R110" s="108" t="str">
        <f>IF(OR(S110="Preventivo",S110="Detectivo"),"Probabilidad",IF(S110="Correctivo","Impacto",""))</f>
        <v>Probabilidad</v>
      </c>
      <c r="S110" s="78" t="s">
        <v>146</v>
      </c>
      <c r="T110" s="78" t="s">
        <v>152</v>
      </c>
      <c r="U110" s="109" t="str">
        <f>IF(AND(S110="Preventivo",T110="Automático"),"50%",IF(AND(S110="Preventivo",T110="Manual"),"40%",IF(AND(S110="Detectivo",T110="Automático"),"40%",IF(AND(S110="Detectivo",T110="Manual"),"30%",IF(AND(S110="Correctivo",T110="Automático"),"35%",IF(AND(S110="Correctivo",T110="Manual"),"25%",""))))))</f>
        <v>30%</v>
      </c>
      <c r="V110" s="78" t="s">
        <v>155</v>
      </c>
      <c r="W110" s="78" t="s">
        <v>159</v>
      </c>
      <c r="X110" s="78" t="s">
        <v>163</v>
      </c>
      <c r="Y110" s="110">
        <f>IFERROR(IF(R110="Probabilidad",(J110-(+J110*U110)),IF(R110="Impacto",J110,"")),"")</f>
        <v>0.14000000000000001</v>
      </c>
      <c r="Z110" s="111" t="str">
        <f t="shared" si="119"/>
        <v>Rara vez</v>
      </c>
      <c r="AA110" s="109">
        <f>+Y110</f>
        <v>0.14000000000000001</v>
      </c>
      <c r="AB110" s="111" t="str">
        <f t="shared" si="121"/>
        <v>Mayor</v>
      </c>
      <c r="AC110" s="109">
        <f>IFERROR(IF(R110="Impacto",(N110-(+N110*U110)),IF(R110="Probabilidad",N110,"")),"")</f>
        <v>0.8</v>
      </c>
      <c r="AD110" s="77" t="str">
        <f t="shared" si="122"/>
        <v>Alto</v>
      </c>
      <c r="AE110" s="78"/>
      <c r="AF110" s="105"/>
      <c r="AG110" s="112"/>
      <c r="AH110" s="113"/>
      <c r="AI110" s="113"/>
      <c r="AJ110" s="105"/>
      <c r="AK110" s="112"/>
      <c r="AL110" s="135">
        <v>45441</v>
      </c>
      <c r="AM110" s="135" t="s">
        <v>375</v>
      </c>
      <c r="AN110" s="134" t="str">
        <f>O110</f>
        <v>Alto</v>
      </c>
      <c r="AO110" s="393" t="str">
        <f>AD113</f>
        <v>Moderado</v>
      </c>
    </row>
    <row r="111" spans="2:41" ht="85.5" x14ac:dyDescent="0.2">
      <c r="B111" s="141"/>
      <c r="C111" s="142"/>
      <c r="D111" s="142"/>
      <c r="E111" s="142"/>
      <c r="F111" s="142"/>
      <c r="G111" s="136"/>
      <c r="H111" s="142"/>
      <c r="I111" s="139"/>
      <c r="J111" s="138"/>
      <c r="K111" s="137"/>
      <c r="L111" s="138">
        <f>IF(NOT(ISERROR(MATCH(K111,_xlfn.ANCHORARRAY(G122),0))),J124&amp;"Por favor no seleccionar los criterios de impacto",K111)</f>
        <v>0</v>
      </c>
      <c r="M111" s="139"/>
      <c r="N111" s="138"/>
      <c r="O111" s="134"/>
      <c r="P111" s="106">
        <v>2</v>
      </c>
      <c r="Q111" s="115" t="s">
        <v>376</v>
      </c>
      <c r="R111" s="108" t="str">
        <f>IF(OR(S111="Preventivo",S111="Detectivo"),"Probabilidad",IF(S111="Correctivo","Impacto",""))</f>
        <v>Probabilidad</v>
      </c>
      <c r="S111" s="78" t="s">
        <v>146</v>
      </c>
      <c r="T111" s="78" t="s">
        <v>152</v>
      </c>
      <c r="U111" s="109" t="str">
        <f t="shared" ref="U111:U115" si="145">IF(AND(S111="Preventivo",T111="Automático"),"50%",IF(AND(S111="Preventivo",T111="Manual"),"40%",IF(AND(S111="Detectivo",T111="Automático"),"40%",IF(AND(S111="Detectivo",T111="Manual"),"30%",IF(AND(S111="Correctivo",T111="Automático"),"35%",IF(AND(S111="Correctivo",T111="Manual"),"25%",""))))))</f>
        <v>30%</v>
      </c>
      <c r="V111" s="78" t="s">
        <v>157</v>
      </c>
      <c r="W111" s="78" t="s">
        <v>159</v>
      </c>
      <c r="X111" s="78" t="s">
        <v>163</v>
      </c>
      <c r="Y111" s="110">
        <f>IFERROR(IF(AND(R110="Probabilidad",R111="Probabilidad"),(AA110-(+AA110*U111)),IF(R111="Probabilidad",(J110-(+J110*U111)),IF(R111="Impacto",AA110,""))),"")</f>
        <v>9.8000000000000004E-2</v>
      </c>
      <c r="Z111" s="111" t="str">
        <f t="shared" si="119"/>
        <v>Rara vez</v>
      </c>
      <c r="AA111" s="109">
        <f t="shared" ref="AA111:AA115" si="146">+Y111</f>
        <v>9.8000000000000004E-2</v>
      </c>
      <c r="AB111" s="111" t="str">
        <f t="shared" si="121"/>
        <v>Mayor</v>
      </c>
      <c r="AC111" s="109">
        <f>IFERROR(IF(AND(R110="Impacto",R111="Impacto"),(AC110-(+AC110*U111)),IF(R111="Impacto",(N110-(+N110*U111)),IF(R111="Probabilidad",AC110,""))),"")</f>
        <v>0.8</v>
      </c>
      <c r="AD111" s="77" t="str">
        <f t="shared" si="122"/>
        <v>Alto</v>
      </c>
      <c r="AE111" s="78"/>
      <c r="AF111" s="105"/>
      <c r="AG111" s="112"/>
      <c r="AH111" s="113"/>
      <c r="AI111" s="113"/>
      <c r="AJ111" s="105"/>
      <c r="AK111" s="112"/>
      <c r="AL111" s="135"/>
      <c r="AM111" s="136"/>
      <c r="AN111" s="134"/>
      <c r="AO111" s="393"/>
    </row>
    <row r="112" spans="2:41" ht="85.5" x14ac:dyDescent="0.2">
      <c r="B112" s="141"/>
      <c r="C112" s="142"/>
      <c r="D112" s="142"/>
      <c r="E112" s="142"/>
      <c r="F112" s="142"/>
      <c r="G112" s="136"/>
      <c r="H112" s="142"/>
      <c r="I112" s="139"/>
      <c r="J112" s="138"/>
      <c r="K112" s="137"/>
      <c r="L112" s="138">
        <f>IF(NOT(ISERROR(MATCH(K112,_xlfn.ANCHORARRAY(G123),0))),J125&amp;"Por favor no seleccionar los criterios de impacto",K112)</f>
        <v>0</v>
      </c>
      <c r="M112" s="139"/>
      <c r="N112" s="138"/>
      <c r="O112" s="134"/>
      <c r="P112" s="106">
        <v>3</v>
      </c>
      <c r="Q112" s="115" t="s">
        <v>377</v>
      </c>
      <c r="R112" s="108" t="str">
        <f>IF(OR(S112="Preventivo",S112="Detectivo"),"Probabilidad",IF(S112="Correctivo","Impacto",""))</f>
        <v>Probabilidad</v>
      </c>
      <c r="S112" s="78" t="s">
        <v>146</v>
      </c>
      <c r="T112" s="78" t="s">
        <v>152</v>
      </c>
      <c r="U112" s="109" t="str">
        <f t="shared" si="145"/>
        <v>30%</v>
      </c>
      <c r="V112" s="78" t="s">
        <v>157</v>
      </c>
      <c r="W112" s="78" t="s">
        <v>159</v>
      </c>
      <c r="X112" s="78" t="s">
        <v>163</v>
      </c>
      <c r="Y112" s="110">
        <f>IFERROR(IF(AND(R111="Probabilidad",R112="Probabilidad"),(AA111-(+AA111*U112)),IF(AND(R111="Impacto",R112="Probabilidad"),(AA110-(+AA110*U112)),IF(R112="Impacto",AA111,""))),"")</f>
        <v>6.8600000000000008E-2</v>
      </c>
      <c r="Z112" s="111" t="str">
        <f t="shared" si="119"/>
        <v>Rara vez</v>
      </c>
      <c r="AA112" s="109">
        <f t="shared" si="146"/>
        <v>6.8600000000000008E-2</v>
      </c>
      <c r="AB112" s="111" t="str">
        <f t="shared" si="121"/>
        <v>Mayor</v>
      </c>
      <c r="AC112" s="109">
        <f>IFERROR(IF(AND(R111="Impacto",R112="Impacto"),(AC111-(+AC111*U112)),IF(AND(R111="Probabilidad",R112="Impacto"),(AC110-(+AC110*U112)),IF(R112="Probabilidad",AC111,""))),"")</f>
        <v>0.8</v>
      </c>
      <c r="AD112" s="77" t="str">
        <f t="shared" si="122"/>
        <v>Alto</v>
      </c>
      <c r="AE112" s="78"/>
      <c r="AF112" s="105"/>
      <c r="AG112" s="112"/>
      <c r="AH112" s="113"/>
      <c r="AI112" s="113"/>
      <c r="AJ112" s="105"/>
      <c r="AK112" s="112"/>
      <c r="AL112" s="135"/>
      <c r="AM112" s="136"/>
      <c r="AN112" s="134"/>
      <c r="AO112" s="393"/>
    </row>
    <row r="113" spans="2:41" ht="105.75" customHeight="1" x14ac:dyDescent="0.2">
      <c r="B113" s="141"/>
      <c r="C113" s="142"/>
      <c r="D113" s="142"/>
      <c r="E113" s="142"/>
      <c r="F113" s="142"/>
      <c r="G113" s="136"/>
      <c r="H113" s="142"/>
      <c r="I113" s="139"/>
      <c r="J113" s="138"/>
      <c r="K113" s="137"/>
      <c r="L113" s="138">
        <f>IF(NOT(ISERROR(MATCH(K113,_xlfn.ANCHORARRAY(G124),0))),J126&amp;"Por favor no seleccionar los criterios de impacto",K113)</f>
        <v>0</v>
      </c>
      <c r="M113" s="139"/>
      <c r="N113" s="138"/>
      <c r="O113" s="134"/>
      <c r="P113" s="106">
        <v>4</v>
      </c>
      <c r="Q113" s="115" t="s">
        <v>378</v>
      </c>
      <c r="R113" s="108" t="str">
        <f>IF(OR(S113="Preventivo",S113="Detectivo"),"Probabilidad",IF(S113="Correctivo","Impacto",""))</f>
        <v>Impacto</v>
      </c>
      <c r="S113" s="78" t="s">
        <v>148</v>
      </c>
      <c r="T113" s="78" t="s">
        <v>152</v>
      </c>
      <c r="U113" s="109" t="str">
        <f t="shared" si="145"/>
        <v>25%</v>
      </c>
      <c r="V113" s="78" t="s">
        <v>157</v>
      </c>
      <c r="W113" s="78" t="s">
        <v>159</v>
      </c>
      <c r="X113" s="78" t="s">
        <v>163</v>
      </c>
      <c r="Y113" s="110">
        <f t="shared" ref="Y113:Y115" si="147">IFERROR(IF(AND(R112="Probabilidad",R113="Probabilidad"),(AA112-(+AA112*U113)),IF(AND(R112="Impacto",R113="Probabilidad"),(AA111-(+AA111*U113)),IF(R113="Impacto",AA112,""))),"")</f>
        <v>6.8600000000000008E-2</v>
      </c>
      <c r="Z113" s="111" t="str">
        <f t="shared" si="119"/>
        <v>Rara vez</v>
      </c>
      <c r="AA113" s="109">
        <f t="shared" si="146"/>
        <v>6.8600000000000008E-2</v>
      </c>
      <c r="AB113" s="111" t="str">
        <f t="shared" si="121"/>
        <v>Moderado</v>
      </c>
      <c r="AC113" s="109">
        <f t="shared" ref="AC113:AC115" si="148">IFERROR(IF(AND(R112="Impacto",R113="Impacto"),(AC112-(+AC112*U113)),IF(AND(R112="Probabilidad",R113="Impacto"),(AC111-(+AC111*U113)),IF(R113="Probabilidad",AC112,""))),"")</f>
        <v>0.60000000000000009</v>
      </c>
      <c r="AD113" s="77" t="str">
        <f t="shared" si="122"/>
        <v>Moderado</v>
      </c>
      <c r="AE113" s="78" t="s">
        <v>173</v>
      </c>
      <c r="AF113" s="105" t="s">
        <v>379</v>
      </c>
      <c r="AG113" s="112" t="s">
        <v>380</v>
      </c>
      <c r="AH113" s="113">
        <v>45657</v>
      </c>
      <c r="AI113" s="113"/>
      <c r="AJ113" s="105"/>
      <c r="AK113" s="112" t="s">
        <v>176</v>
      </c>
      <c r="AL113" s="135"/>
      <c r="AM113" s="136"/>
      <c r="AN113" s="134"/>
      <c r="AO113" s="393"/>
    </row>
    <row r="114" spans="2:41" x14ac:dyDescent="0.2">
      <c r="B114" s="141"/>
      <c r="C114" s="142"/>
      <c r="D114" s="142"/>
      <c r="E114" s="142"/>
      <c r="F114" s="142"/>
      <c r="G114" s="136"/>
      <c r="H114" s="142"/>
      <c r="I114" s="139"/>
      <c r="J114" s="138"/>
      <c r="K114" s="137"/>
      <c r="L114" s="138">
        <f>IF(NOT(ISERROR(MATCH(K114,_xlfn.ANCHORARRAY(G125),0))),J127&amp;"Por favor no seleccionar los criterios de impacto",K114)</f>
        <v>0</v>
      </c>
      <c r="M114" s="139"/>
      <c r="N114" s="138"/>
      <c r="O114" s="134"/>
      <c r="P114" s="106">
        <v>5</v>
      </c>
      <c r="Q114" s="115"/>
      <c r="R114" s="108" t="str">
        <f t="shared" ref="R114:R115" si="149">IF(OR(S114="Preventivo",S114="Detectivo"),"Probabilidad",IF(S114="Correctivo","Impacto",""))</f>
        <v/>
      </c>
      <c r="S114" s="78"/>
      <c r="T114" s="78"/>
      <c r="U114" s="109" t="str">
        <f t="shared" si="145"/>
        <v/>
      </c>
      <c r="V114" s="78"/>
      <c r="W114" s="78"/>
      <c r="X114" s="78"/>
      <c r="Y114" s="110" t="str">
        <f t="shared" si="147"/>
        <v/>
      </c>
      <c r="Z114" s="111" t="str">
        <f t="shared" si="119"/>
        <v/>
      </c>
      <c r="AA114" s="109" t="str">
        <f t="shared" si="146"/>
        <v/>
      </c>
      <c r="AB114" s="111" t="str">
        <f t="shared" si="121"/>
        <v/>
      </c>
      <c r="AC114" s="109" t="str">
        <f t="shared" si="148"/>
        <v/>
      </c>
      <c r="AD114" s="77" t="str">
        <f t="shared" si="122"/>
        <v/>
      </c>
      <c r="AE114" s="78"/>
      <c r="AF114" s="105"/>
      <c r="AG114" s="112"/>
      <c r="AH114" s="113"/>
      <c r="AI114" s="113"/>
      <c r="AJ114" s="105"/>
      <c r="AK114" s="112"/>
      <c r="AL114" s="135"/>
      <c r="AM114" s="136"/>
      <c r="AN114" s="134"/>
      <c r="AO114" s="393"/>
    </row>
    <row r="115" spans="2:41" x14ac:dyDescent="0.2">
      <c r="B115" s="141"/>
      <c r="C115" s="142"/>
      <c r="D115" s="142"/>
      <c r="E115" s="142"/>
      <c r="F115" s="142"/>
      <c r="G115" s="136"/>
      <c r="H115" s="142"/>
      <c r="I115" s="139"/>
      <c r="J115" s="138"/>
      <c r="K115" s="137"/>
      <c r="L115" s="138">
        <f>IF(NOT(ISERROR(MATCH(K115,_xlfn.ANCHORARRAY(G126),0))),J128&amp;"Por favor no seleccionar los criterios de impacto",K115)</f>
        <v>0</v>
      </c>
      <c r="M115" s="139"/>
      <c r="N115" s="138"/>
      <c r="O115" s="134"/>
      <c r="P115" s="106">
        <v>6</v>
      </c>
      <c r="Q115" s="115"/>
      <c r="R115" s="108" t="str">
        <f t="shared" si="149"/>
        <v/>
      </c>
      <c r="S115" s="78"/>
      <c r="T115" s="78"/>
      <c r="U115" s="109" t="str">
        <f t="shared" si="145"/>
        <v/>
      </c>
      <c r="V115" s="78"/>
      <c r="W115" s="78"/>
      <c r="X115" s="78"/>
      <c r="Y115" s="110" t="str">
        <f t="shared" si="147"/>
        <v/>
      </c>
      <c r="Z115" s="111" t="str">
        <f t="shared" si="119"/>
        <v/>
      </c>
      <c r="AA115" s="109" t="str">
        <f t="shared" si="146"/>
        <v/>
      </c>
      <c r="AB115" s="111" t="str">
        <f t="shared" si="121"/>
        <v/>
      </c>
      <c r="AC115" s="109" t="str">
        <f t="shared" si="148"/>
        <v/>
      </c>
      <c r="AD115" s="77" t="str">
        <f t="shared" si="122"/>
        <v/>
      </c>
      <c r="AE115" s="78"/>
      <c r="AF115" s="105"/>
      <c r="AG115" s="112"/>
      <c r="AH115" s="113"/>
      <c r="AI115" s="113"/>
      <c r="AJ115" s="105"/>
      <c r="AK115" s="112"/>
      <c r="AL115" s="135"/>
      <c r="AM115" s="136"/>
      <c r="AN115" s="134"/>
      <c r="AO115" s="393"/>
    </row>
    <row r="116" spans="2:41" ht="123" customHeight="1" x14ac:dyDescent="0.2">
      <c r="B116" s="141" t="s">
        <v>381</v>
      </c>
      <c r="C116" s="142" t="s">
        <v>206</v>
      </c>
      <c r="D116" s="142" t="s">
        <v>382</v>
      </c>
      <c r="E116" s="142" t="s">
        <v>345</v>
      </c>
      <c r="F116" s="142" t="s">
        <v>262</v>
      </c>
      <c r="G116" s="136" t="s">
        <v>364</v>
      </c>
      <c r="H116" s="142" t="s">
        <v>188</v>
      </c>
      <c r="I116" s="139" t="str">
        <f t="shared" ref="I116" si="150">IF(H116&lt;=0,"",IF(H116="No se ha presentado en los últimos 5 años","Rara vez",IF(H116="Al menos 1 vez en los últimos 5 años","Improbable",IF(H116="Al menos 1 vez en los últimos 2 años","Posible",IF(H116="Al menos 1 vez en el último año","Probable",IF(H116="Más de 1 vez al año","Casi Seguro"))))))</f>
        <v>Casi Seguro</v>
      </c>
      <c r="J116" s="138">
        <f t="shared" ref="J116" si="151">IF(I116="","",IF(I116="Rara vez",0.2,IF(I116="Improbable",0.4,IF(I116="Posible",0.6,IF(I116="Probable",0.8,IF(I116="Casi Seguro",1,))))))</f>
        <v>1</v>
      </c>
      <c r="K116" s="137" t="s">
        <v>82</v>
      </c>
      <c r="L116" s="138" t="str">
        <f>IF(NOT(ISERROR(MATCH(K116,'[10]Tabla Impacto'!$B$220:$B$222,0))),'[10]Tabla Impacto'!$F$222&amp;"Por favor no seleccionar los criterios de impacto(Afectación Económica o presupuestal y Pérdida Reputacional)",K116)</f>
        <v xml:space="preserve">Responder afirmativamente de DOCE a DIECINUEVE </v>
      </c>
      <c r="M116" s="139" t="str">
        <f>IF(OR(L116='[10]Tabla Impacto'!$C$5),"Moderado",IF(OR(L116='[10]Tabla Impacto'!$C$6),"Mayor",IF(OR(L116='[10]Tabla Impacto'!$C$7),"Catastrófico","")))</f>
        <v>Catastrófico</v>
      </c>
      <c r="N116" s="138">
        <f>IF(M116="","",IF(M116="Leve",0.2,IF(M116="Menor",0.4,IF(M116="Moderado",0.6,IF(M116="Mayor",0.8,IF(M116="Catastrófico",1,))))))</f>
        <v>1</v>
      </c>
      <c r="O116" s="134" t="str">
        <f t="shared" ref="O116" si="152">IF(OR(AND(I116="Rara vez",M116="Leve"),AND(I116="Rara vez",M116="Menor"),AND(I116="Improbable",M116="Leve")),"Bajo",IF(OR(AND(I116="Rara vez",M116="Moderado"),AND(I116="Improbable",M116="Menor"),AND(I116="Improbable",M116="Moderado"),AND(I116="Posible",M116="Leve"),AND(I116="Posible",M116="Menor"),AND(I116="Posible",M116="Moderado"),AND(I116="Probable",M116="Leve"),AND(I116="Probable",M116="Menor")),"Moderado",IF(OR(AND(I116="Rara vez",M116="Mayor"),AND(I116="Improbable",M116="Mayor"),AND(I116="Posible",M116="Mayor"),AND(I116="Probable",M116="Moderado"),AND(I116="Probable",M116="Mayor"),AND(I116="Casi Seguro",M116="Leve"),AND(I116="Casi Seguro",M116="Menor"),AND(I116="Casi Seguro",M116="Moderado"),AND(I116="Casi Seguro",M116="Mayor")),"Alto",IF(OR(AND(I116="Rara vez",M116="Catastrófico"),AND(I116="Improbable",M116="Catastrófico"),AND(I116="Posible",M116="Catastrófico"),AND(I116="Probable",M116="Catastrófico"),AND(I116="Casi Seguro",M116="Catastrófico")),"Extremo",""))))</f>
        <v>Extremo</v>
      </c>
      <c r="P116" s="106">
        <v>1</v>
      </c>
      <c r="Q116" s="115" t="s">
        <v>383</v>
      </c>
      <c r="R116" s="108" t="str">
        <f>IF(OR(S116="Preventivo",S116="Detectivo"),"Probabilidad",IF(S116="Correctivo","Impacto",""))</f>
        <v>Probabilidad</v>
      </c>
      <c r="S116" s="78" t="s">
        <v>144</v>
      </c>
      <c r="T116" s="78" t="s">
        <v>152</v>
      </c>
      <c r="U116" s="109" t="str">
        <f>IF(AND(S116="Preventivo",T116="Automático"),"50%",IF(AND(S116="Preventivo",T116="Manual"),"40%",IF(AND(S116="Detectivo",T116="Automático"),"40%",IF(AND(S116="Detectivo",T116="Manual"),"30%",IF(AND(S116="Correctivo",T116="Automático"),"35%",IF(AND(S116="Correctivo",T116="Manual"),"25%",""))))))</f>
        <v>40%</v>
      </c>
      <c r="V116" s="78" t="s">
        <v>155</v>
      </c>
      <c r="W116" s="78" t="s">
        <v>159</v>
      </c>
      <c r="X116" s="78" t="s">
        <v>163</v>
      </c>
      <c r="Y116" s="110">
        <f>IFERROR(IF(R116="Probabilidad",(J116-(+J116*U116)),IF(R116="Impacto",J116,"")),"")</f>
        <v>0.6</v>
      </c>
      <c r="Z116" s="111" t="str">
        <f t="shared" si="119"/>
        <v>Posible</v>
      </c>
      <c r="AA116" s="109">
        <f>+Y116</f>
        <v>0.6</v>
      </c>
      <c r="AB116" s="111" t="str">
        <f t="shared" si="121"/>
        <v>Catastrófico</v>
      </c>
      <c r="AC116" s="109">
        <f>IFERROR(IF(R116="Impacto",(N116-(+N116*U116)),IF(R116="Probabilidad",N116,"")),"")</f>
        <v>1</v>
      </c>
      <c r="AD116" s="77" t="str">
        <f t="shared" si="122"/>
        <v>Extremo</v>
      </c>
      <c r="AE116" s="78" t="s">
        <v>173</v>
      </c>
      <c r="AF116" s="105" t="s">
        <v>384</v>
      </c>
      <c r="AG116" s="113" t="s">
        <v>385</v>
      </c>
      <c r="AH116" s="113">
        <v>45596</v>
      </c>
      <c r="AI116" s="113"/>
      <c r="AJ116" s="105"/>
      <c r="AK116" s="112" t="s">
        <v>176</v>
      </c>
      <c r="AL116" s="135">
        <v>45471</v>
      </c>
      <c r="AM116" s="135" t="s">
        <v>375</v>
      </c>
      <c r="AN116" s="134" t="str">
        <f>O116</f>
        <v>Extremo</v>
      </c>
      <c r="AO116" s="393" t="str">
        <f>AD116</f>
        <v>Extremo</v>
      </c>
    </row>
    <row r="117" spans="2:41" ht="27.75" customHeight="1" x14ac:dyDescent="0.2">
      <c r="B117" s="141"/>
      <c r="C117" s="142"/>
      <c r="D117" s="142"/>
      <c r="E117" s="142"/>
      <c r="F117" s="142"/>
      <c r="G117" s="136"/>
      <c r="H117" s="142"/>
      <c r="I117" s="139"/>
      <c r="J117" s="138"/>
      <c r="K117" s="137"/>
      <c r="L117" s="138">
        <f>IF(NOT(ISERROR(MATCH(K117,_xlfn.ANCHORARRAY(G128),0))),J130&amp;"Por favor no seleccionar los criterios de impacto",K117)</f>
        <v>0</v>
      </c>
      <c r="M117" s="139"/>
      <c r="N117" s="138"/>
      <c r="O117" s="134"/>
      <c r="P117" s="106">
        <v>2</v>
      </c>
      <c r="Q117" s="115"/>
      <c r="R117" s="108" t="str">
        <f>IF(OR(S117="Preventivo",S117="Detectivo"),"Probabilidad",IF(S117="Correctivo","Impacto",""))</f>
        <v/>
      </c>
      <c r="S117" s="78"/>
      <c r="T117" s="78"/>
      <c r="U117" s="109" t="str">
        <f t="shared" ref="U117:U121" si="153">IF(AND(S117="Preventivo",T117="Automático"),"50%",IF(AND(S117="Preventivo",T117="Manual"),"40%",IF(AND(S117="Detectivo",T117="Automático"),"40%",IF(AND(S117="Detectivo",T117="Manual"),"30%",IF(AND(S117="Correctivo",T117="Automático"),"35%",IF(AND(S117="Correctivo",T117="Manual"),"25%",""))))))</f>
        <v/>
      </c>
      <c r="V117" s="78"/>
      <c r="W117" s="78"/>
      <c r="X117" s="78"/>
      <c r="Y117" s="110" t="str">
        <f>IFERROR(IF(AND(R116="Probabilidad",R117="Probabilidad"),(AA116-(+AA116*U117)),IF(R117="Probabilidad",(J116-(+J116*U117)),IF(R117="Impacto",AA116,""))),"")</f>
        <v/>
      </c>
      <c r="Z117" s="111" t="str">
        <f t="shared" si="119"/>
        <v/>
      </c>
      <c r="AA117" s="109" t="str">
        <f t="shared" ref="AA117:AA121" si="154">+Y117</f>
        <v/>
      </c>
      <c r="AB117" s="111" t="str">
        <f t="shared" si="121"/>
        <v/>
      </c>
      <c r="AC117" s="109" t="str">
        <f>IFERROR(IF(AND(R116="Impacto",R117="Impacto"),(AC116-(+AC116*U117)),IF(R117="Impacto",(N116-(+N116*U117)),IF(R117="Probabilidad",AC116,""))),"")</f>
        <v/>
      </c>
      <c r="AD117" s="77" t="str">
        <f t="shared" si="122"/>
        <v/>
      </c>
      <c r="AE117" s="78"/>
      <c r="AF117" s="105"/>
      <c r="AG117" s="112"/>
      <c r="AH117" s="113"/>
      <c r="AI117" s="113"/>
      <c r="AJ117" s="105"/>
      <c r="AK117" s="112"/>
      <c r="AL117" s="135"/>
      <c r="AM117" s="136"/>
      <c r="AN117" s="134"/>
      <c r="AO117" s="393"/>
    </row>
    <row r="118" spans="2:41" x14ac:dyDescent="0.2">
      <c r="B118" s="141"/>
      <c r="C118" s="142"/>
      <c r="D118" s="142"/>
      <c r="E118" s="142"/>
      <c r="F118" s="142"/>
      <c r="G118" s="136"/>
      <c r="H118" s="142"/>
      <c r="I118" s="139"/>
      <c r="J118" s="138"/>
      <c r="K118" s="137"/>
      <c r="L118" s="138">
        <f>IF(NOT(ISERROR(MATCH(K118,_xlfn.ANCHORARRAY(G129),0))),J131&amp;"Por favor no seleccionar los criterios de impacto",K118)</f>
        <v>0</v>
      </c>
      <c r="M118" s="139"/>
      <c r="N118" s="138"/>
      <c r="O118" s="134"/>
      <c r="P118" s="106">
        <v>3</v>
      </c>
      <c r="Q118" s="105"/>
      <c r="R118" s="108" t="str">
        <f>IF(OR(S118="Preventivo",S118="Detectivo"),"Probabilidad",IF(S118="Correctivo","Impacto",""))</f>
        <v/>
      </c>
      <c r="S118" s="78"/>
      <c r="T118" s="78"/>
      <c r="U118" s="109" t="str">
        <f t="shared" si="153"/>
        <v/>
      </c>
      <c r="V118" s="78"/>
      <c r="W118" s="78"/>
      <c r="X118" s="78"/>
      <c r="Y118" s="110" t="str">
        <f>IFERROR(IF(AND(R117="Probabilidad",R118="Probabilidad"),(AA117-(+AA117*U118)),IF(AND(R117="Impacto",R118="Probabilidad"),(AA116-(+AA116*U118)),IF(R118="Impacto",AA117,""))),"")</f>
        <v/>
      </c>
      <c r="Z118" s="111" t="str">
        <f t="shared" si="119"/>
        <v/>
      </c>
      <c r="AA118" s="109" t="str">
        <f t="shared" si="154"/>
        <v/>
      </c>
      <c r="AB118" s="111" t="str">
        <f t="shared" si="121"/>
        <v/>
      </c>
      <c r="AC118" s="109" t="str">
        <f>IFERROR(IF(AND(R117="Impacto",R118="Impacto"),(AC117-(+AC117*U118)),IF(AND(R117="Probabilidad",R118="Impacto"),(AC116-(+AC116*U118)),IF(R118="Probabilidad",AC117,""))),"")</f>
        <v/>
      </c>
      <c r="AD118" s="77" t="str">
        <f t="shared" si="122"/>
        <v/>
      </c>
      <c r="AE118" s="78"/>
      <c r="AF118" s="105"/>
      <c r="AG118" s="112"/>
      <c r="AH118" s="113"/>
      <c r="AI118" s="113"/>
      <c r="AJ118" s="105"/>
      <c r="AK118" s="112"/>
      <c r="AL118" s="135"/>
      <c r="AM118" s="136"/>
      <c r="AN118" s="134"/>
      <c r="AO118" s="393"/>
    </row>
    <row r="119" spans="2:41" x14ac:dyDescent="0.2">
      <c r="B119" s="141"/>
      <c r="C119" s="142"/>
      <c r="D119" s="142"/>
      <c r="E119" s="142"/>
      <c r="F119" s="142"/>
      <c r="G119" s="136"/>
      <c r="H119" s="142"/>
      <c r="I119" s="139"/>
      <c r="J119" s="138"/>
      <c r="K119" s="137"/>
      <c r="L119" s="138">
        <f>IF(NOT(ISERROR(MATCH(K119,_xlfn.ANCHORARRAY(G130),0))),J132&amp;"Por favor no seleccionar los criterios de impacto",K119)</f>
        <v>0</v>
      </c>
      <c r="M119" s="139"/>
      <c r="N119" s="138"/>
      <c r="O119" s="134"/>
      <c r="P119" s="106">
        <v>4</v>
      </c>
      <c r="Q119" s="115"/>
      <c r="R119" s="108" t="str">
        <f t="shared" ref="R119:R121" si="155">IF(OR(S119="Preventivo",S119="Detectivo"),"Probabilidad",IF(S119="Correctivo","Impacto",""))</f>
        <v/>
      </c>
      <c r="S119" s="78"/>
      <c r="T119" s="78"/>
      <c r="U119" s="109" t="str">
        <f t="shared" si="153"/>
        <v/>
      </c>
      <c r="V119" s="78"/>
      <c r="W119" s="78"/>
      <c r="X119" s="78"/>
      <c r="Y119" s="110" t="str">
        <f t="shared" ref="Y119:Y121" si="156">IFERROR(IF(AND(R118="Probabilidad",R119="Probabilidad"),(AA118-(+AA118*U119)),IF(AND(R118="Impacto",R119="Probabilidad"),(AA117-(+AA117*U119)),IF(R119="Impacto",AA118,""))),"")</f>
        <v/>
      </c>
      <c r="Z119" s="111" t="str">
        <f t="shared" si="119"/>
        <v/>
      </c>
      <c r="AA119" s="109" t="str">
        <f t="shared" si="154"/>
        <v/>
      </c>
      <c r="AB119" s="111" t="str">
        <f t="shared" si="121"/>
        <v/>
      </c>
      <c r="AC119" s="109" t="str">
        <f t="shared" ref="AC119:AC121" si="157">IFERROR(IF(AND(R118="Impacto",R119="Impacto"),(AC118-(+AC118*U119)),IF(AND(R118="Probabilidad",R119="Impacto"),(AC117-(+AC117*U119)),IF(R119="Probabilidad",AC118,""))),"")</f>
        <v/>
      </c>
      <c r="AD119" s="77" t="str">
        <f t="shared" si="122"/>
        <v/>
      </c>
      <c r="AE119" s="78"/>
      <c r="AF119" s="105"/>
      <c r="AG119" s="112"/>
      <c r="AH119" s="113"/>
      <c r="AI119" s="113"/>
      <c r="AJ119" s="105"/>
      <c r="AK119" s="112"/>
      <c r="AL119" s="135"/>
      <c r="AM119" s="136"/>
      <c r="AN119" s="134"/>
      <c r="AO119" s="393"/>
    </row>
    <row r="120" spans="2:41" x14ac:dyDescent="0.2">
      <c r="B120" s="141"/>
      <c r="C120" s="142"/>
      <c r="D120" s="142"/>
      <c r="E120" s="142"/>
      <c r="F120" s="142"/>
      <c r="G120" s="136"/>
      <c r="H120" s="142"/>
      <c r="I120" s="139"/>
      <c r="J120" s="138"/>
      <c r="K120" s="137"/>
      <c r="L120" s="138">
        <f>IF(NOT(ISERROR(MATCH(K120,_xlfn.ANCHORARRAY(G131),0))),J133&amp;"Por favor no seleccionar los criterios de impacto",K120)</f>
        <v>0</v>
      </c>
      <c r="M120" s="139"/>
      <c r="N120" s="138"/>
      <c r="O120" s="134"/>
      <c r="P120" s="106">
        <v>5</v>
      </c>
      <c r="Q120" s="115"/>
      <c r="R120" s="108" t="str">
        <f t="shared" si="155"/>
        <v/>
      </c>
      <c r="S120" s="78"/>
      <c r="T120" s="78"/>
      <c r="U120" s="109" t="str">
        <f t="shared" si="153"/>
        <v/>
      </c>
      <c r="V120" s="78"/>
      <c r="W120" s="78"/>
      <c r="X120" s="78"/>
      <c r="Y120" s="110" t="str">
        <f t="shared" si="156"/>
        <v/>
      </c>
      <c r="Z120" s="111" t="str">
        <f t="shared" si="119"/>
        <v/>
      </c>
      <c r="AA120" s="109" t="str">
        <f t="shared" si="154"/>
        <v/>
      </c>
      <c r="AB120" s="111" t="str">
        <f t="shared" si="121"/>
        <v/>
      </c>
      <c r="AC120" s="109" t="str">
        <f t="shared" si="157"/>
        <v/>
      </c>
      <c r="AD120" s="77" t="str">
        <f t="shared" si="122"/>
        <v/>
      </c>
      <c r="AE120" s="78"/>
      <c r="AF120" s="105"/>
      <c r="AG120" s="112"/>
      <c r="AH120" s="113"/>
      <c r="AI120" s="113"/>
      <c r="AJ120" s="105"/>
      <c r="AK120" s="112"/>
      <c r="AL120" s="135"/>
      <c r="AM120" s="136"/>
      <c r="AN120" s="134"/>
      <c r="AO120" s="393"/>
    </row>
    <row r="121" spans="2:41" x14ac:dyDescent="0.2">
      <c r="B121" s="141"/>
      <c r="C121" s="142"/>
      <c r="D121" s="142"/>
      <c r="E121" s="142"/>
      <c r="F121" s="142"/>
      <c r="G121" s="136"/>
      <c r="H121" s="142"/>
      <c r="I121" s="139"/>
      <c r="J121" s="138"/>
      <c r="K121" s="137"/>
      <c r="L121" s="138">
        <f>IF(NOT(ISERROR(MATCH(K121,_xlfn.ANCHORARRAY(G132),0))),J134&amp;"Por favor no seleccionar los criterios de impacto",K121)</f>
        <v>0</v>
      </c>
      <c r="M121" s="139"/>
      <c r="N121" s="138"/>
      <c r="O121" s="134"/>
      <c r="P121" s="106">
        <v>6</v>
      </c>
      <c r="Q121" s="115"/>
      <c r="R121" s="108" t="str">
        <f t="shared" si="155"/>
        <v/>
      </c>
      <c r="S121" s="78"/>
      <c r="T121" s="78"/>
      <c r="U121" s="109" t="str">
        <f t="shared" si="153"/>
        <v/>
      </c>
      <c r="V121" s="78"/>
      <c r="W121" s="78"/>
      <c r="X121" s="78"/>
      <c r="Y121" s="110" t="str">
        <f t="shared" si="156"/>
        <v/>
      </c>
      <c r="Z121" s="111" t="str">
        <f t="shared" si="119"/>
        <v/>
      </c>
      <c r="AA121" s="109" t="str">
        <f t="shared" si="154"/>
        <v/>
      </c>
      <c r="AB121" s="111" t="str">
        <f t="shared" si="121"/>
        <v/>
      </c>
      <c r="AC121" s="109" t="str">
        <f t="shared" si="157"/>
        <v/>
      </c>
      <c r="AD121" s="77" t="str">
        <f t="shared" si="122"/>
        <v/>
      </c>
      <c r="AE121" s="78"/>
      <c r="AF121" s="105"/>
      <c r="AG121" s="112"/>
      <c r="AH121" s="113"/>
      <c r="AI121" s="113"/>
      <c r="AJ121" s="105"/>
      <c r="AK121" s="112"/>
      <c r="AL121" s="135"/>
      <c r="AM121" s="136"/>
      <c r="AN121" s="134"/>
      <c r="AO121" s="393"/>
    </row>
    <row r="122" spans="2:41" ht="105" customHeight="1" x14ac:dyDescent="0.2">
      <c r="B122" s="141" t="s">
        <v>393</v>
      </c>
      <c r="C122" s="142" t="s">
        <v>194</v>
      </c>
      <c r="D122" s="136" t="s">
        <v>394</v>
      </c>
      <c r="E122" s="142" t="s">
        <v>231</v>
      </c>
      <c r="F122" s="142" t="s">
        <v>395</v>
      </c>
      <c r="G122" s="136" t="s">
        <v>396</v>
      </c>
      <c r="H122" s="142" t="s">
        <v>67</v>
      </c>
      <c r="I122" s="139" t="str">
        <f>IF(H122&lt;=0,"",IF(H122="No se ha presentado en los últimos 5 años","Rara vez",IF(H122="Al menos 1 vez en los últimos 5 años","Improbable",IF(H122="Al menos 1 vez en los últimos 2 años","Posible",IF(H122="Al menos 1 vez en el último año","Probable",IF(H122="Más de 1 vez al año","Casi Seguro"))))))</f>
        <v>Posible</v>
      </c>
      <c r="J122" s="138">
        <f>IF(I122="","",IF(I122="Rara vez",0.2,IF(I122="Improbable",0.4,IF(I122="Posible",0.6,IF(I122="Probable",0.8,IF(I122="Casi Seguro",1,))))))</f>
        <v>0.6</v>
      </c>
      <c r="K122" s="137" t="s">
        <v>82</v>
      </c>
      <c r="L122" s="138" t="str">
        <f>IF(NOT(ISERROR(MATCH(K122,'[11]Tabla Impacto'!$B$220:$B$222,0))),'[11]Tabla Impacto'!$F$222&amp;"Por favor no seleccionar los criterios de impacto(Criterios para calificar el impacto)",K122)</f>
        <v xml:space="preserve">Responder afirmativamente de DOCE a DIECINUEVE </v>
      </c>
      <c r="M122" s="139" t="str">
        <f>IF(OR(L122='[11]Tabla Impacto'!$C$5),"Moderado",IF(OR(L122='[11]Tabla Impacto'!$C$6),"Mayor",IF(OR(L122='[11]Tabla Impacto'!$C$7),"Catastrófico","")))</f>
        <v>Catastrófico</v>
      </c>
      <c r="N122" s="138">
        <f>IF(M122="","",IF(M122="Leve",0.2,IF(M122="Menor",0.4,IF(M122="Moderado",0.6,IF(M122="Mayor",0.8,IF(M122="Catastrófico",1,))))))</f>
        <v>1</v>
      </c>
      <c r="O122" s="134" t="str">
        <f>IF(OR(AND(I122="Rara vez",M122="Leve"),AND(I122="Rara vez",M122="Menor"),AND(I122="Improbable",M122="Leve")),"Bajo",IF(OR(AND(I122="Rara vez",M122="Moderado"),AND(I122="Improbable",M122="Menor"),AND(I122="Improbable",M122="Moderado"),AND(I122="Posible",M122="Leve"),AND(I122="Posible",M122="Menor"),AND(I122="Posible",M122="Moderado"),AND(I122="Probable",M122="Leve"),AND(I122="Probable",M122="Menor")),"Moderado",IF(OR(AND(I122="Rara vez",M122="Mayor"),AND(I122="Improbable",M122="Mayor"),AND(I122="Posible",M122="Mayor"),AND(I122="Probable",M122="Moderado"),AND(I122="Probable",M122="Mayor"),AND(I122="Casi Seguro",M122="Leve"),AND(I122="Casi Seguro",M122="Menor"),AND(I122="Casi Seguro",M122="Moderado"),AND(I122="Casi Seguro",M122="Mayor")),"Alto",IF(OR(AND(I122="Rara vez",M122="Catastrófico"),AND(I122="Improbable",M122="Catastrófico"),AND(I122="Posible",M122="Catastrófico"),AND(I122="Probable",M122="Catastrófico"),AND(I122="Casi Seguro",M122="Catastrófico")),"Extremo",""))))</f>
        <v>Extremo</v>
      </c>
      <c r="P122" s="106">
        <v>1</v>
      </c>
      <c r="Q122" s="129" t="s">
        <v>458</v>
      </c>
      <c r="R122" s="108" t="str">
        <f>IF(OR(S122="Preventivo",S122="Detectivo"),"Probabilidad",IF(S122="Correctivo","Impacto",""))</f>
        <v>Probabilidad</v>
      </c>
      <c r="S122" s="78" t="s">
        <v>144</v>
      </c>
      <c r="T122" s="78" t="s">
        <v>152</v>
      </c>
      <c r="U122" s="109" t="str">
        <f>IF(AND(S122="Preventivo",T122="Automático"),"50%",IF(AND(S122="Preventivo",T122="Manual"),"40%",IF(AND(S122="Detectivo",T122="Automático"),"40%",IF(AND(S122="Detectivo",T122="Manual"),"30%",IF(AND(S122="Correctivo",T122="Automático"),"35%",IF(AND(S122="Correctivo",T122="Manual"),"25%",""))))))</f>
        <v>40%</v>
      </c>
      <c r="V122" s="78" t="s">
        <v>157</v>
      </c>
      <c r="W122" s="78" t="s">
        <v>159</v>
      </c>
      <c r="X122" s="78" t="s">
        <v>163</v>
      </c>
      <c r="Y122" s="110">
        <f>IFERROR(IF(R122="Probabilidad",(J122-(+J122*U122)),IF(R122="Impacto",J122,"")),"")</f>
        <v>0.36</v>
      </c>
      <c r="Z122" s="111" t="str">
        <f>IFERROR(IF(Y122="","",IF(Y122&lt;=0.2,"Rara vez",IF(Y122&lt;=0.4,"Improbable",IF(Y122&lt;=0.6,"Posible",IF(Y122&lt;=0.8,"Probable","Casi Seguro"))))),"")</f>
        <v>Improbable</v>
      </c>
      <c r="AA122" s="109">
        <f>+Y122</f>
        <v>0.36</v>
      </c>
      <c r="AB122" s="111" t="str">
        <f>IFERROR(IF(AC122="","",IF(AC122&lt;=0.6,"Moderado",IF(AC122&lt;=0.8,"Mayor","Catastrófico"))),"")</f>
        <v>Catastrófico</v>
      </c>
      <c r="AC122" s="109">
        <f>IFERROR(IF(R122="Impacto",(N122-(+N122*U122)),IF(R122="Probabilidad",N122,"")),"")</f>
        <v>1</v>
      </c>
      <c r="AD122" s="77" t="str">
        <f>IFERROR(IF(OR(AND(Z122="Rara vez",AB122="Leve"),AND(Z122="Rara vez",AB122="Menor"),AND(Z122="Improbable",AB122="Leve")),"Bajo",IF(OR(AND(Z122="Rara vez",AB122="Moderado"),AND(Z122="Improbable",AB122="Menor"),AND(Z122="Improbable",AB122="Moderado"),AND(Z122="Posible",AB122="Leve"),AND(Z122="Posible",AB122="Menor"),AND(Z122="Posible",AB122="Moderado"),AND(Z122="Probable",AB122="Leve"),AND(Z122="Probable",AB122="Menor")),"Moderado",IF(OR(AND(Z122="Rara vez",AB122="Mayor"),AND(Z122="Improbable",AB122="Mayor"),AND(Z122="Posible",AB122="Mayor"),AND(Z122="Probable",AB122="Moderado"),AND(Z122="Probable",AB122="Mayor"),AND(Z122="Casi Seguro",AB122="Leve"),AND(Z122="Casi Seguro",AB122="Menor"),AND(Z122="Casi Seguro",AB122="Moderado"),AND(Z122="Casi Seguro",AB122="Mayor")),"Alto",IF(OR(AND(Z122="Rara vez",AB122="Catastrófico"),AND(Z122="Improbable",AB122="Catastrófico"),AND(Z122="Posible",AB122="Catastrófico"),AND(Z122="Probable",AB122="Catastrófico"),AND(Z122="Casi Seguro",AB122="Catastrófico")),"Extremo","")))),"")</f>
        <v>Extremo</v>
      </c>
      <c r="AE122" s="78"/>
      <c r="AF122" s="105"/>
      <c r="AG122" s="105"/>
      <c r="AH122" s="118"/>
      <c r="AI122" s="118"/>
      <c r="AJ122" s="105"/>
      <c r="AK122" s="116"/>
      <c r="AL122" s="140">
        <v>44926</v>
      </c>
      <c r="AM122" s="135" t="s">
        <v>222</v>
      </c>
      <c r="AN122" s="134" t="str">
        <f>+O122</f>
        <v>Extremo</v>
      </c>
      <c r="AO122" s="393" t="str">
        <f>+AD124</f>
        <v>Alto</v>
      </c>
    </row>
    <row r="123" spans="2:41" ht="85.5" x14ac:dyDescent="0.2">
      <c r="B123" s="141"/>
      <c r="C123" s="142"/>
      <c r="D123" s="136"/>
      <c r="E123" s="142"/>
      <c r="F123" s="142"/>
      <c r="G123" s="136"/>
      <c r="H123" s="142"/>
      <c r="I123" s="139"/>
      <c r="J123" s="138"/>
      <c r="K123" s="137"/>
      <c r="L123" s="138">
        <f>IF(NOT(ISERROR(MATCH(K123,_xlfn.ANCHORARRAY(#REF!),0))),#REF!&amp;"Por favor no seleccionar los criterios de impacto",K123)</f>
        <v>0</v>
      </c>
      <c r="M123" s="139"/>
      <c r="N123" s="138"/>
      <c r="O123" s="134"/>
      <c r="P123" s="106">
        <v>2</v>
      </c>
      <c r="Q123" s="129" t="s">
        <v>460</v>
      </c>
      <c r="R123" s="108" t="str">
        <f>IF(OR(S123="Preventivo",S123="Detectivo"),"Probabilidad",IF(S123="Correctivo","Impacto",""))</f>
        <v>Probabilidad</v>
      </c>
      <c r="S123" s="78" t="s">
        <v>144</v>
      </c>
      <c r="T123" s="78" t="s">
        <v>152</v>
      </c>
      <c r="U123" s="109" t="str">
        <f t="shared" ref="U123:U127" si="158">IF(AND(S123="Preventivo",T123="Automático"),"50%",IF(AND(S123="Preventivo",T123="Manual"),"40%",IF(AND(S123="Detectivo",T123="Automático"),"40%",IF(AND(S123="Detectivo",T123="Manual"),"30%",IF(AND(S123="Correctivo",T123="Automático"),"35%",IF(AND(S123="Correctivo",T123="Manual"),"25%",""))))))</f>
        <v>40%</v>
      </c>
      <c r="V123" s="78" t="s">
        <v>157</v>
      </c>
      <c r="W123" s="78" t="s">
        <v>159</v>
      </c>
      <c r="X123" s="78" t="s">
        <v>165</v>
      </c>
      <c r="Y123" s="110">
        <f>IFERROR(IF(AND(R122="Probabilidad",R123="Probabilidad"),(AA122-(+AA122*U123)),IF(R123="Probabilidad",(J122-(+J122*U123)),IF(R123="Impacto",AA122,""))),"")</f>
        <v>0.216</v>
      </c>
      <c r="Z123" s="111" t="str">
        <f t="shared" ref="Z123:Z139" si="159">IFERROR(IF(Y123="","",IF(Y123&lt;=0.2,"Rara vez",IF(Y123&lt;=0.4,"Improbable",IF(Y123&lt;=0.6,"Posible",IF(Y123&lt;=0.8,"Probable","Casi Seguro"))))),"")</f>
        <v>Improbable</v>
      </c>
      <c r="AA123" s="109">
        <f t="shared" ref="AA123:AA127" si="160">+Y123</f>
        <v>0.216</v>
      </c>
      <c r="AB123" s="111" t="str">
        <f t="shared" ref="AB123:AB139" si="161">IFERROR(IF(AC123="","",IF(AC123&lt;=0.6,"Moderado",IF(AC123&lt;=0.8,"Mayor","Catastrófico"))),"")</f>
        <v>Catastrófico</v>
      </c>
      <c r="AC123" s="109">
        <f>IFERROR(IF(AND(R122="Impacto",R123="Impacto"),(AC122-(+AC122*U123)),IF(R123="Impacto",(N122-(+N122*U123)),IF(R123="Probabilidad",AC122,""))),"")</f>
        <v>1</v>
      </c>
      <c r="AD123" s="77" t="str">
        <f>IFERROR(IF(OR(AND(Z123="Rara vez",AB123="Leve"),AND(Z123="Rara vez",AB123="Menor"),AND(Z123="Improbable",AB123="Leve")),"Bajo",IF(OR(AND(Z123="Rara vez",AB123="Moderado"),AND(Z123="Improbable",AB123="Menor"),AND(Z123="Improbable",AB123="Moderado"),AND(Z123="Posible",AB123="Leve"),AND(Z123="Posible",AB123="Menor"),AND(Z123="Posible",AB123="Moderado"),AND(Z123="Probable",AB123="Leve"),AND(Z123="Probable",AB123="Menor")),"Moderado",IF(OR(AND(Z123="Rara vez",AB123="Mayor"),AND(Z123="Improbable",AB123="Mayor"),AND(Z123="Posible",AB123="Mayor"),AND(Z123="Probable",AB123="Moderado"),AND(Z123="Probable",AB123="Mayor"),AND(Z123="Casi Seguro",AB123="Leve"),AND(Z123="Casi Seguro",AB123="Menor"),AND(Z123="Casi Seguro",AB123="Moderado"),AND(Z123="Casi Seguro",AB123="Mayor")),"Alto",IF(OR(AND(Z123="Rara vez",AB123="Catastrófico"),AND(Z123="Improbable",AB123="Catastrófico"),AND(Z123="Posible",AB123="Catastrófico"),AND(Z123="Probable",AB123="Catastrófico"),AND(Z123="Casi Seguro",AB123="Catastrófico")),"Extremo","")))),"")</f>
        <v>Extremo</v>
      </c>
      <c r="AE123" s="78"/>
      <c r="AF123" s="125"/>
      <c r="AG123" s="126"/>
      <c r="AH123" s="127"/>
      <c r="AI123" s="128"/>
      <c r="AJ123" s="105"/>
      <c r="AK123" s="116"/>
      <c r="AL123" s="170"/>
      <c r="AM123" s="136"/>
      <c r="AN123" s="134"/>
      <c r="AO123" s="393"/>
    </row>
    <row r="124" spans="2:41" ht="75" x14ac:dyDescent="0.2">
      <c r="B124" s="141"/>
      <c r="C124" s="142"/>
      <c r="D124" s="136"/>
      <c r="E124" s="142"/>
      <c r="F124" s="142"/>
      <c r="G124" s="136"/>
      <c r="H124" s="142"/>
      <c r="I124" s="139"/>
      <c r="J124" s="138"/>
      <c r="K124" s="137"/>
      <c r="L124" s="138">
        <f>IF(NOT(ISERROR(MATCH(K124,_xlfn.ANCHORARRAY(#REF!),0))),#REF!&amp;"Por favor no seleccionar los criterios de impacto",K124)</f>
        <v>0</v>
      </c>
      <c r="M124" s="139"/>
      <c r="N124" s="138"/>
      <c r="O124" s="134"/>
      <c r="P124" s="106">
        <v>3</v>
      </c>
      <c r="Q124" s="129" t="s">
        <v>397</v>
      </c>
      <c r="R124" s="120" t="s">
        <v>41</v>
      </c>
      <c r="S124" s="121" t="s">
        <v>148</v>
      </c>
      <c r="T124" s="121" t="s">
        <v>152</v>
      </c>
      <c r="U124" s="109" t="str">
        <f t="shared" si="158"/>
        <v>25%</v>
      </c>
      <c r="V124" s="78" t="s">
        <v>155</v>
      </c>
      <c r="W124" s="78" t="s">
        <v>159</v>
      </c>
      <c r="X124" s="78" t="s">
        <v>163</v>
      </c>
      <c r="Y124" s="110">
        <f>IFERROR(IF(AND(R123="Probabilidad",R124="Probabilidad"),(AA123-(+AA123*U124)),IF(AND(R123="Impacto",R124="Probabilidad"),(AA122-(+AA122*U124)),IF(R124="Impacto",AA123,""))),"")</f>
        <v>0.216</v>
      </c>
      <c r="Z124" s="111" t="str">
        <f t="shared" si="159"/>
        <v>Improbable</v>
      </c>
      <c r="AA124" s="109">
        <f t="shared" si="160"/>
        <v>0.216</v>
      </c>
      <c r="AB124" s="111" t="str">
        <f t="shared" si="161"/>
        <v>Mayor</v>
      </c>
      <c r="AC124" s="109">
        <f>IFERROR(IF(AND(R123="Impacto",R124="Impacto"),(AC123-(+AC123*U124)),IF(AND(R123="Probabilidad",R124="Impacto"),(AC122-(+AC122*U124)),IF(R124="Probabilidad",AC123,""))),"")</f>
        <v>0.75</v>
      </c>
      <c r="AD124" s="77" t="str">
        <f>IFERROR(IF(OR(AND(Z124="Rara vez",AB124="Leve"),AND(Z124="Rara vez",AB124="Menor"),AND(Z124="Improbable",AB124="Leve")),"Bajo",IF(OR(AND(Z124="Rara vez",AB124="Moderado"),AND(Z124="Improbable",AB124="Menor"),AND(Z124="Improbable",AB124="Moderado"),AND(Z124="Posible",AB124="Leve"),AND(Z124="Posible",AB124="Menor"),AND(Z124="Posible",AB124="Moderado"),AND(Z124="Probable",AB124="Leve"),AND(Z124="Probable",AB124="Menor")),"Moderado",IF(OR(AND(Z124="Rara vez",AB124="Mayor"),AND(Z124="Improbable",AB124="Mayor"),AND(Z124="Posible",AB124="Mayor"),AND(Z124="Probable",AB124="Moderado"),AND(Z124="Probable",AB124="Mayor"),AND(Z124="Casi Seguro",AB124="Leve"),AND(Z124="Casi Seguro",AB124="Menor"),AND(Z124="Casi Seguro",AB124="Moderado"),AND(Z124="Casi Seguro",AB124="Mayor")),"Alto",IF(OR(AND(Z124="Rara vez",AB124="Catastrófico"),AND(Z124="Improbable",AB124="Catastrófico"),AND(Z124="Posible",AB124="Catastrófico"),AND(Z124="Probable",AB124="Catastrófico"),AND(Z124="Casi Seguro",AB124="Catastrófico")),"Extremo","")))),"")</f>
        <v>Alto</v>
      </c>
      <c r="AE124" s="78"/>
      <c r="AF124" s="105"/>
      <c r="AG124" s="126"/>
      <c r="AH124" s="105"/>
      <c r="AI124" s="127"/>
      <c r="AJ124" s="105"/>
      <c r="AK124" s="116"/>
      <c r="AL124" s="170"/>
      <c r="AM124" s="136"/>
      <c r="AN124" s="134"/>
      <c r="AO124" s="393"/>
    </row>
    <row r="125" spans="2:41" ht="89.25" x14ac:dyDescent="0.2">
      <c r="B125" s="141"/>
      <c r="C125" s="142"/>
      <c r="D125" s="136"/>
      <c r="E125" s="142"/>
      <c r="F125" s="142"/>
      <c r="G125" s="136"/>
      <c r="H125" s="142"/>
      <c r="I125" s="139"/>
      <c r="J125" s="138"/>
      <c r="K125" s="137"/>
      <c r="L125" s="138">
        <f>IF(NOT(ISERROR(MATCH(K125,_xlfn.ANCHORARRAY(#REF!),0))),#REF!&amp;"Por favor no seleccionar los criterios de impacto",K125)</f>
        <v>0</v>
      </c>
      <c r="M125" s="139"/>
      <c r="N125" s="138"/>
      <c r="O125" s="134"/>
      <c r="P125" s="106">
        <v>4</v>
      </c>
      <c r="Q125" s="129" t="s">
        <v>459</v>
      </c>
      <c r="R125" s="108" t="str">
        <f t="shared" ref="R125:R127" si="162">IF(OR(S125="Preventivo",S125="Detectivo"),"Probabilidad",IF(S125="Correctivo","Impacto",""))</f>
        <v>Probabilidad</v>
      </c>
      <c r="S125" s="78" t="s">
        <v>146</v>
      </c>
      <c r="T125" s="78" t="s">
        <v>152</v>
      </c>
      <c r="U125" s="109" t="str">
        <f t="shared" si="158"/>
        <v>30%</v>
      </c>
      <c r="V125" s="78" t="s">
        <v>155</v>
      </c>
      <c r="W125" s="78" t="s">
        <v>159</v>
      </c>
      <c r="X125" s="78" t="s">
        <v>163</v>
      </c>
      <c r="Y125" s="110">
        <f t="shared" ref="Y125:Y127" si="163">IFERROR(IF(AND(R124="Probabilidad",R125="Probabilidad"),(AA124-(+AA124*U125)),IF(AND(R124="Impacto",R125="Probabilidad"),(AA123-(+AA123*U125)),IF(R125="Impacto",AA124,""))),"")</f>
        <v>0.1512</v>
      </c>
      <c r="Z125" s="111" t="str">
        <f t="shared" si="159"/>
        <v>Rara vez</v>
      </c>
      <c r="AA125" s="109">
        <f t="shared" si="160"/>
        <v>0.1512</v>
      </c>
      <c r="AB125" s="111" t="str">
        <f t="shared" si="161"/>
        <v>Mayor</v>
      </c>
      <c r="AC125" s="109">
        <f t="shared" ref="AC125:AC127" si="164">IFERROR(IF(AND(R124="Impacto",R125="Impacto"),(AC124-(+AC124*U125)),IF(AND(R124="Probabilidad",R125="Impacto"),(AC123-(+AC123*U125)),IF(R125="Probabilidad",AC124,""))),"")</f>
        <v>0.75</v>
      </c>
      <c r="AD125" s="77" t="str">
        <f>IFERROR(IF(OR(AND(Z125="Rara vez",AB125="Leve"),AND(Z125="Rara vez",AB125="Menor"),AND(Z125="Improbable",AB125="Leve")),"Bajo",IF(OR(AND(Z125="Rara vez",AB125="Moderado"),AND(Z125="Improbable",AB125="Menor"),AND(Z125="Improbable",AB125="Moderado"),AND(Z125="Posible",AB125="Leve"),AND(Z125="Posible",AB125="Menor"),AND(Z125="Posible",AB125="Moderado"),AND(Z125="Probable",AB125="Leve"),AND(Z125="Probable",AB125="Menor")),"Moderado",IF(OR(AND(Z125="Rara vez",AB125="Mayor"),AND(Z125="Improbable",AB125="Mayor"),AND(Z125="Posible",AB125="Mayor"),AND(Z125="Probable",AB125="Moderado"),AND(Z125="Probable",AB125="Mayor"),AND(Z125="Casi Seguro",AB125="Leve"),AND(Z125="Casi Seguro",AB125="Menor"),AND(Z125="Casi Seguro",AB125="Moderado"),AND(Z125="Casi Seguro",AB125="Mayor")),"Alto",IF(OR(AND(Z125="Rara vez",AB125="Catastrófico"),AND(Z125="Improbable",AB125="Catastrófico"),AND(Z125="Posible",AB125="Catastrófico"),AND(Z125="Probable",AB125="Catastrófico"),AND(Z125="Casi Seguro",AB125="Catastrófico")),"Extremo","")))),"")</f>
        <v>Alto</v>
      </c>
      <c r="AE125" s="78" t="s">
        <v>173</v>
      </c>
      <c r="AF125" s="123" t="s">
        <v>461</v>
      </c>
      <c r="AG125" s="123" t="s">
        <v>398</v>
      </c>
      <c r="AH125" s="124">
        <v>45657</v>
      </c>
      <c r="AI125" s="118"/>
      <c r="AJ125" s="105"/>
      <c r="AK125" s="116" t="s">
        <v>176</v>
      </c>
      <c r="AL125" s="170"/>
      <c r="AM125" s="136"/>
      <c r="AN125" s="134"/>
      <c r="AO125" s="393"/>
    </row>
    <row r="126" spans="2:41" ht="53.25" customHeight="1" x14ac:dyDescent="0.2">
      <c r="B126" s="141"/>
      <c r="C126" s="142"/>
      <c r="D126" s="136"/>
      <c r="E126" s="142"/>
      <c r="F126" s="142"/>
      <c r="G126" s="136"/>
      <c r="H126" s="142"/>
      <c r="I126" s="139"/>
      <c r="J126" s="138"/>
      <c r="K126" s="137"/>
      <c r="L126" s="138">
        <f>IF(NOT(ISERROR(MATCH(K126,_xlfn.ANCHORARRAY(#REF!),0))),#REF!&amp;"Por favor no seleccionar los criterios de impacto",K126)</f>
        <v>0</v>
      </c>
      <c r="M126" s="139"/>
      <c r="N126" s="138"/>
      <c r="O126" s="134"/>
      <c r="P126" s="106">
        <v>5</v>
      </c>
      <c r="Q126" s="115"/>
      <c r="R126" s="108" t="str">
        <f t="shared" si="162"/>
        <v/>
      </c>
      <c r="S126" s="78"/>
      <c r="T126" s="78"/>
      <c r="U126" s="109" t="str">
        <f t="shared" si="158"/>
        <v/>
      </c>
      <c r="V126" s="78"/>
      <c r="W126" s="78"/>
      <c r="X126" s="78"/>
      <c r="Y126" s="110" t="str">
        <f t="shared" si="163"/>
        <v/>
      </c>
      <c r="Z126" s="111" t="str">
        <f t="shared" si="159"/>
        <v/>
      </c>
      <c r="AA126" s="109" t="str">
        <f t="shared" si="160"/>
        <v/>
      </c>
      <c r="AB126" s="111" t="str">
        <f t="shared" si="161"/>
        <v/>
      </c>
      <c r="AC126" s="109" t="str">
        <f t="shared" si="164"/>
        <v/>
      </c>
      <c r="AD126" s="77" t="str">
        <f t="shared" ref="AD126:AD131" si="165">IFERROR(IF(OR(AND(Z126="Rara vez",AB126="Leve"),AND(Z126="Rara vez",AB126="Menor"),AND(Z126="Improbable",AB126="Leve")),"Bajo",IF(OR(AND(Z126="Rara vez",AB126="Moderado"),AND(Z126="Improbable",AB126="Menor"),AND(Z126="Improbable",AB126="Moderado"),AND(Z126="Posible",AB126="Leve"),AND(Z126="Posible",AB126="Menor"),AND(Z126="Posible",AB126="Moderado"),AND(Z126="Probable",AB126="Leve"),AND(Z126="Probable",AB126="Menor")),"Moderado",IF(OR(AND(Z126="Rara vez",AB126="Mayor"),AND(Z126="Improbable",AB126="Mayor"),AND(Z126="Posible",AB126="Mayor"),AND(Z126="Probable",AB126="Moderado"),AND(Z126="Probable",AB126="Mayor"),AND(Z126="Casi Seguro",AB126="Leve"),AND(Z126="Casi Seguro",AB126="Menor"),AND(Z126="Casi Seguro",AB126="Moderado"),AND(Z126="Casi Seguro",AB126="Mayor")),"Alto",IF(OR(AND(Z126="Rara vez",AB126="Catastrófico"),AND(Z126="Improbable",AB126="Catastrófico"),AND(Z126="Posible",AB126="Catastrófico"),AND(Z126="Probable",AB126="Catastrófico"),AND(Z126="Casi Seguro",AB126="Catastrófico")),"Extremo","")))),"")</f>
        <v/>
      </c>
      <c r="AE126" s="78"/>
      <c r="AF126" s="105"/>
      <c r="AG126" s="105"/>
      <c r="AH126" s="118"/>
      <c r="AI126" s="118"/>
      <c r="AJ126" s="105"/>
      <c r="AK126" s="116"/>
      <c r="AL126" s="170"/>
      <c r="AM126" s="136"/>
      <c r="AN126" s="134"/>
      <c r="AO126" s="393"/>
    </row>
    <row r="127" spans="2:41" ht="53.25" customHeight="1" x14ac:dyDescent="0.2">
      <c r="B127" s="141"/>
      <c r="C127" s="142"/>
      <c r="D127" s="136"/>
      <c r="E127" s="142"/>
      <c r="F127" s="142"/>
      <c r="G127" s="136"/>
      <c r="H127" s="142"/>
      <c r="I127" s="139"/>
      <c r="J127" s="138"/>
      <c r="K127" s="137"/>
      <c r="L127" s="138">
        <f>IF(NOT(ISERROR(MATCH(K127,_xlfn.ANCHORARRAY(#REF!),0))),J134&amp;"Por favor no seleccionar los criterios de impacto",K127)</f>
        <v>0</v>
      </c>
      <c r="M127" s="139"/>
      <c r="N127" s="138"/>
      <c r="O127" s="134"/>
      <c r="P127" s="106">
        <v>6</v>
      </c>
      <c r="Q127" s="115"/>
      <c r="R127" s="108" t="str">
        <f t="shared" si="162"/>
        <v/>
      </c>
      <c r="S127" s="78"/>
      <c r="T127" s="78"/>
      <c r="U127" s="109" t="str">
        <f t="shared" si="158"/>
        <v/>
      </c>
      <c r="V127" s="78"/>
      <c r="W127" s="78"/>
      <c r="X127" s="78"/>
      <c r="Y127" s="110" t="str">
        <f t="shared" si="163"/>
        <v/>
      </c>
      <c r="Z127" s="111" t="str">
        <f t="shared" si="159"/>
        <v/>
      </c>
      <c r="AA127" s="109" t="str">
        <f t="shared" si="160"/>
        <v/>
      </c>
      <c r="AB127" s="111" t="str">
        <f t="shared" si="161"/>
        <v/>
      </c>
      <c r="AC127" s="109" t="str">
        <f t="shared" si="164"/>
        <v/>
      </c>
      <c r="AD127" s="77" t="str">
        <f t="shared" si="165"/>
        <v/>
      </c>
      <c r="AE127" s="78"/>
      <c r="AF127" s="105"/>
      <c r="AG127" s="105"/>
      <c r="AH127" s="118"/>
      <c r="AI127" s="118"/>
      <c r="AJ127" s="105"/>
      <c r="AK127" s="116"/>
      <c r="AL127" s="170"/>
      <c r="AM127" s="136"/>
      <c r="AN127" s="134"/>
      <c r="AO127" s="393"/>
    </row>
    <row r="128" spans="2:41" ht="138" customHeight="1" x14ac:dyDescent="0.2">
      <c r="B128" s="141" t="s">
        <v>399</v>
      </c>
      <c r="C128" s="172" t="s">
        <v>194</v>
      </c>
      <c r="D128" s="136" t="s">
        <v>462</v>
      </c>
      <c r="E128" s="142" t="s">
        <v>231</v>
      </c>
      <c r="F128" s="142" t="s">
        <v>400</v>
      </c>
      <c r="G128" s="142" t="s">
        <v>401</v>
      </c>
      <c r="H128" s="142" t="s">
        <v>61</v>
      </c>
      <c r="I128" s="139" t="str">
        <f t="shared" ref="I128" si="166">IF(H128&lt;=0,"",IF(H128="No se ha presentado en los últimos 5 años","Rara vez",IF(H128="Al menos 1 vez en los últimos 5 años","Improbable",IF(H128="Al menos 1 vez en los últimos 2 años","Posible",IF(H128="Al menos 1 vez en el último año","Probable",IF(H128="Más de 1 vez al año","Casi Seguro"))))))</f>
        <v>Rara vez</v>
      </c>
      <c r="J128" s="138">
        <f t="shared" ref="J128" si="167">IF(I128="","",IF(I128="Rara vez",0.2,IF(I128="Improbable",0.4,IF(I128="Posible",0.6,IF(I128="Probable",0.8,IF(I128="Casi Seguro",1,))))))</f>
        <v>0.2</v>
      </c>
      <c r="K128" s="137" t="s">
        <v>82</v>
      </c>
      <c r="L128" s="138" t="str">
        <f>IF(NOT(ISERROR(MATCH(K128,'[11]Tabla Impacto'!$B$220:$B$222,0))),'[11]Tabla Impacto'!$F$222&amp;"Por favor no seleccionar los criterios de impacto(Criterios para calificar el impacto)",K128)</f>
        <v xml:space="preserve">Responder afirmativamente de DOCE a DIECINUEVE </v>
      </c>
      <c r="M128" s="139" t="str">
        <f>IF(OR(L128='[11]Tabla Impacto'!$C$5),"Moderado",IF(OR(L128='[11]Tabla Impacto'!$C$6),"Mayor",IF(OR(L128='[11]Tabla Impacto'!$C$7),"Catastrófico","")))</f>
        <v>Catastrófico</v>
      </c>
      <c r="N128" s="138">
        <f>IF(M128="","",IF(M128="Leve",0.2,IF(M128="Menor",0.4,IF(M128="Moderado",0.6,IF(M128="Mayor",0.8,IF(M128="Catastrófico",1,))))))</f>
        <v>1</v>
      </c>
      <c r="O128" s="134" t="str">
        <f t="shared" ref="O128" si="168">IF(OR(AND(I128="Rara vez",M128="Leve"),AND(I128="Rara vez",M128="Menor"),AND(I128="Improbable",M128="Leve")),"Bajo",IF(OR(AND(I128="Rara vez",M128="Moderado"),AND(I128="Improbable",M128="Menor"),AND(I128="Improbable",M128="Moderado"),AND(I128="Posible",M128="Leve"),AND(I128="Posible",M128="Menor"),AND(I128="Posible",M128="Moderado"),AND(I128="Probable",M128="Leve"),AND(I128="Probable",M128="Menor")),"Moderado",IF(OR(AND(I128="Rara vez",M128="Mayor"),AND(I128="Improbable",M128="Mayor"),AND(I128="Posible",M128="Mayor"),AND(I128="Probable",M128="Moderado"),AND(I128="Probable",M128="Mayor"),AND(I128="Casi Seguro",M128="Leve"),AND(I128="Casi Seguro",M128="Menor"),AND(I128="Casi Seguro",M128="Moderado"),AND(I128="Casi Seguro",M128="Mayor")),"Alto",IF(OR(AND(I128="Rara vez",M128="Catastrófico"),AND(I128="Improbable",M128="Catastrófico"),AND(I128="Posible",M128="Catastrófico"),AND(I128="Probable",M128="Catastrófico"),AND(I128="Casi Seguro",M128="Catastrófico")),"Extremo",""))))</f>
        <v>Extremo</v>
      </c>
      <c r="P128" s="106">
        <v>1</v>
      </c>
      <c r="Q128" s="129" t="s">
        <v>484</v>
      </c>
      <c r="R128" s="108" t="str">
        <f>IF(OR(S128="Preventivo",S128="Detectivo"),"Probabilidad",IF(S128="Correctivo","Impacto",""))</f>
        <v>Probabilidad</v>
      </c>
      <c r="S128" s="78" t="s">
        <v>146</v>
      </c>
      <c r="T128" s="78" t="s">
        <v>152</v>
      </c>
      <c r="U128" s="109" t="str">
        <f>IF(AND(S128="Preventivo",T128="Automático"),"50%",IF(AND(S128="Preventivo",T128="Manual"),"40%",IF(AND(S128="Detectivo",T128="Automático"),"40%",IF(AND(S128="Detectivo",T128="Manual"),"30%",IF(AND(S128="Correctivo",T128="Automático"),"35%",IF(AND(S128="Correctivo",T128="Manual"),"25%",""))))))</f>
        <v>30%</v>
      </c>
      <c r="V128" s="78" t="s">
        <v>155</v>
      </c>
      <c r="W128" s="78" t="s">
        <v>159</v>
      </c>
      <c r="X128" s="78" t="s">
        <v>163</v>
      </c>
      <c r="Y128" s="110">
        <f>IFERROR(IF(R128="Probabilidad",(J128-(+J128*U128)),IF(R128="Impacto",J128,"")),"")</f>
        <v>0.14000000000000001</v>
      </c>
      <c r="Z128" s="111" t="str">
        <f t="shared" si="159"/>
        <v>Rara vez</v>
      </c>
      <c r="AA128" s="109">
        <f>+Y128</f>
        <v>0.14000000000000001</v>
      </c>
      <c r="AB128" s="111" t="str">
        <f t="shared" si="161"/>
        <v>Catastrófico</v>
      </c>
      <c r="AC128" s="109">
        <f>IFERROR(IF(R128="Impacto",(N128-(+N128*U128)),IF(R128="Probabilidad",N128,"")),"")</f>
        <v>1</v>
      </c>
      <c r="AD128" s="77" t="str">
        <f t="shared" si="165"/>
        <v>Extremo</v>
      </c>
      <c r="AE128" s="78"/>
      <c r="AF128" s="105"/>
      <c r="AG128" s="105"/>
      <c r="AH128" s="118"/>
      <c r="AI128" s="118"/>
      <c r="AJ128" s="105"/>
      <c r="AK128" s="116"/>
      <c r="AL128" s="140">
        <v>45477</v>
      </c>
      <c r="AM128" s="135" t="s">
        <v>222</v>
      </c>
      <c r="AN128" s="134" t="str">
        <f>+O128</f>
        <v>Extremo</v>
      </c>
      <c r="AO128" s="393" t="str">
        <f>+AD130</f>
        <v>Alto</v>
      </c>
    </row>
    <row r="129" spans="2:41" ht="75" x14ac:dyDescent="0.2">
      <c r="B129" s="141"/>
      <c r="C129" s="172"/>
      <c r="D129" s="136"/>
      <c r="E129" s="142"/>
      <c r="F129" s="142"/>
      <c r="G129" s="142"/>
      <c r="H129" s="142"/>
      <c r="I129" s="139"/>
      <c r="J129" s="138"/>
      <c r="K129" s="137"/>
      <c r="L129" s="138">
        <f>IF(NOT(ISERROR(MATCH(K129,_xlfn.ANCHORARRAY(G134),0))),J136&amp;"Por favor no seleccionar los criterios de impacto",K129)</f>
        <v>0</v>
      </c>
      <c r="M129" s="139"/>
      <c r="N129" s="138"/>
      <c r="O129" s="134"/>
      <c r="P129" s="106">
        <v>2</v>
      </c>
      <c r="Q129" s="129" t="s">
        <v>463</v>
      </c>
      <c r="R129" s="108" t="str">
        <f>IF(OR(S129="Preventivo",S129="Detectivo"),"Probabilidad",IF(S129="Correctivo","Impacto",""))</f>
        <v>Probabilidad</v>
      </c>
      <c r="S129" s="78" t="s">
        <v>146</v>
      </c>
      <c r="T129" s="121" t="s">
        <v>152</v>
      </c>
      <c r="U129" s="109" t="str">
        <f t="shared" ref="U129:U133" si="169">IF(AND(S129="Preventivo",T129="Automático"),"50%",IF(AND(S129="Preventivo",T129="Manual"),"40%",IF(AND(S129="Detectivo",T129="Automático"),"40%",IF(AND(S129="Detectivo",T129="Manual"),"30%",IF(AND(S129="Correctivo",T129="Automático"),"35%",IF(AND(S129="Correctivo",T129="Manual"),"25%",""))))))</f>
        <v>30%</v>
      </c>
      <c r="V129" s="78" t="s">
        <v>155</v>
      </c>
      <c r="W129" s="78" t="s">
        <v>159</v>
      </c>
      <c r="X129" s="78" t="s">
        <v>165</v>
      </c>
      <c r="Y129" s="110">
        <f>IFERROR(IF(AND(R128="Probabilidad",R129="Probabilidad"),(AA128-(+AA128*U129)),IF(R129="Probabilidad",(J128-(+J128*U129)),IF(R129="Impacto",AA128,""))),"")</f>
        <v>9.8000000000000004E-2</v>
      </c>
      <c r="Z129" s="111" t="str">
        <f t="shared" si="159"/>
        <v>Rara vez</v>
      </c>
      <c r="AA129" s="109">
        <f t="shared" ref="AA129:AA133" si="170">+Y129</f>
        <v>9.8000000000000004E-2</v>
      </c>
      <c r="AB129" s="111" t="str">
        <f t="shared" si="161"/>
        <v>Catastrófico</v>
      </c>
      <c r="AC129" s="109">
        <f>IFERROR(IF(AND(R128="Impacto",R129="Impacto"),(AC128-(+AC128*U129)),IF(R129="Impacto",(N128-(+N128*U129)),IF(R129="Probabilidad",AC128,""))),"")</f>
        <v>1</v>
      </c>
      <c r="AD129" s="77" t="str">
        <f t="shared" si="165"/>
        <v>Extremo</v>
      </c>
      <c r="AE129" s="78"/>
      <c r="AF129" s="105"/>
      <c r="AG129" s="105"/>
      <c r="AH129" s="118"/>
      <c r="AI129" s="118"/>
      <c r="AJ129" s="105"/>
      <c r="AK129" s="116"/>
      <c r="AL129" s="170"/>
      <c r="AM129" s="136"/>
      <c r="AN129" s="134"/>
      <c r="AO129" s="393"/>
    </row>
    <row r="130" spans="2:41" ht="87.75" x14ac:dyDescent="0.2">
      <c r="B130" s="141"/>
      <c r="C130" s="172"/>
      <c r="D130" s="136"/>
      <c r="E130" s="142"/>
      <c r="F130" s="142"/>
      <c r="G130" s="142"/>
      <c r="H130" s="142"/>
      <c r="I130" s="139"/>
      <c r="J130" s="138"/>
      <c r="K130" s="137"/>
      <c r="L130" s="138">
        <f>IF(NOT(ISERROR(MATCH(K130,_xlfn.ANCHORARRAY(G135),0))),J137&amp;"Por favor no seleccionar los criterios de impacto",K130)</f>
        <v>0</v>
      </c>
      <c r="M130" s="139"/>
      <c r="N130" s="138"/>
      <c r="O130" s="134"/>
      <c r="P130" s="106">
        <v>3</v>
      </c>
      <c r="Q130" s="129" t="s">
        <v>402</v>
      </c>
      <c r="R130" s="120" t="s">
        <v>41</v>
      </c>
      <c r="S130" s="121" t="s">
        <v>148</v>
      </c>
      <c r="T130" s="121" t="s">
        <v>152</v>
      </c>
      <c r="U130" s="109" t="str">
        <f t="shared" si="169"/>
        <v>25%</v>
      </c>
      <c r="V130" s="78" t="s">
        <v>155</v>
      </c>
      <c r="W130" s="78" t="s">
        <v>159</v>
      </c>
      <c r="X130" s="78" t="s">
        <v>163</v>
      </c>
      <c r="Y130" s="110">
        <f>IFERROR(IF(AND(R129="Probabilidad",R130="Probabilidad"),(AA129-(+AA129*U130)),IF(AND(R129="Impacto",R130="Probabilidad"),(AA128-(+AA128*U130)),IF(R130="Impacto",AA129,""))),"")</f>
        <v>9.8000000000000004E-2</v>
      </c>
      <c r="Z130" s="111" t="str">
        <f t="shared" si="159"/>
        <v>Rara vez</v>
      </c>
      <c r="AA130" s="109">
        <f t="shared" si="170"/>
        <v>9.8000000000000004E-2</v>
      </c>
      <c r="AB130" s="111" t="str">
        <f t="shared" si="161"/>
        <v>Mayor</v>
      </c>
      <c r="AC130" s="109">
        <f>IFERROR(IF(AND(R129="Impacto",R130="Impacto"),(AC129-(+AC129*U130)),IF(AND(R129="Probabilidad",R130="Impacto"),(AC128-(+AC128*U130)),IF(R130="Probabilidad",AC129,""))),"")</f>
        <v>0.75</v>
      </c>
      <c r="AD130" s="77" t="str">
        <f t="shared" si="165"/>
        <v>Alto</v>
      </c>
      <c r="AE130" s="78" t="s">
        <v>173</v>
      </c>
      <c r="AF130" s="123" t="s">
        <v>464</v>
      </c>
      <c r="AG130" s="123" t="s">
        <v>398</v>
      </c>
      <c r="AH130" s="124">
        <v>45657</v>
      </c>
      <c r="AI130" s="118"/>
      <c r="AJ130" s="105"/>
      <c r="AK130" s="116" t="s">
        <v>176</v>
      </c>
      <c r="AL130" s="170"/>
      <c r="AM130" s="136"/>
      <c r="AN130" s="134"/>
      <c r="AO130" s="393"/>
    </row>
    <row r="131" spans="2:41" x14ac:dyDescent="0.2">
      <c r="B131" s="141"/>
      <c r="C131" s="172"/>
      <c r="D131" s="136"/>
      <c r="E131" s="142"/>
      <c r="F131" s="142"/>
      <c r="G131" s="142"/>
      <c r="H131" s="142"/>
      <c r="I131" s="139"/>
      <c r="J131" s="138"/>
      <c r="K131" s="137"/>
      <c r="L131" s="138">
        <f>IF(NOT(ISERROR(MATCH(K131,_xlfn.ANCHORARRAY(G136),0))),J138&amp;"Por favor no seleccionar los criterios de impacto",K131)</f>
        <v>0</v>
      </c>
      <c r="M131" s="139"/>
      <c r="N131" s="138"/>
      <c r="O131" s="134"/>
      <c r="P131" s="106">
        <v>4</v>
      </c>
      <c r="Q131" s="115"/>
      <c r="R131" s="108" t="str">
        <f t="shared" ref="R131:R133" si="171">IF(OR(S131="Preventivo",S131="Detectivo"),"Probabilidad",IF(S131="Correctivo","Impacto",""))</f>
        <v/>
      </c>
      <c r="S131" s="78"/>
      <c r="T131" s="78"/>
      <c r="U131" s="109" t="str">
        <f t="shared" si="169"/>
        <v/>
      </c>
      <c r="V131" s="78"/>
      <c r="W131" s="78"/>
      <c r="X131" s="78"/>
      <c r="Y131" s="110" t="str">
        <f t="shared" ref="Y131:Y133" si="172">IFERROR(IF(AND(R130="Probabilidad",R131="Probabilidad"),(AA130-(+AA130*U131)),IF(AND(R130="Impacto",R131="Probabilidad"),(AA129-(+AA129*U131)),IF(R131="Impacto",AA130,""))),"")</f>
        <v/>
      </c>
      <c r="Z131" s="111" t="str">
        <f t="shared" si="159"/>
        <v/>
      </c>
      <c r="AA131" s="109" t="str">
        <f t="shared" si="170"/>
        <v/>
      </c>
      <c r="AB131" s="111" t="str">
        <f t="shared" si="161"/>
        <v/>
      </c>
      <c r="AC131" s="109" t="str">
        <f t="shared" ref="AC131:AC133" si="173">IFERROR(IF(AND(R130="Impacto",R131="Impacto"),(AC130-(+AC130*U131)),IF(AND(R130="Probabilidad",R131="Impacto"),(AC129-(+AC129*U131)),IF(R131="Probabilidad",AC130,""))),"")</f>
        <v/>
      </c>
      <c r="AD131" s="77" t="str">
        <f t="shared" si="165"/>
        <v/>
      </c>
      <c r="AE131" s="78"/>
      <c r="AF131" s="105"/>
      <c r="AG131" s="118"/>
      <c r="AH131" s="118"/>
      <c r="AI131" s="118"/>
      <c r="AJ131" s="105"/>
      <c r="AK131" s="116"/>
      <c r="AL131" s="170"/>
      <c r="AM131" s="136"/>
      <c r="AN131" s="134"/>
      <c r="AO131" s="393"/>
    </row>
    <row r="132" spans="2:41" ht="53.25" customHeight="1" x14ac:dyDescent="0.2">
      <c r="B132" s="141"/>
      <c r="C132" s="172"/>
      <c r="D132" s="136"/>
      <c r="E132" s="142"/>
      <c r="F132" s="142"/>
      <c r="G132" s="142"/>
      <c r="H132" s="142"/>
      <c r="I132" s="139"/>
      <c r="J132" s="138"/>
      <c r="K132" s="137"/>
      <c r="L132" s="138">
        <f>IF(NOT(ISERROR(MATCH(K132,_xlfn.ANCHORARRAY(G137),0))),J139&amp;"Por favor no seleccionar los criterios de impacto",K132)</f>
        <v>0</v>
      </c>
      <c r="M132" s="139"/>
      <c r="N132" s="138"/>
      <c r="O132" s="134"/>
      <c r="P132" s="106">
        <v>5</v>
      </c>
      <c r="Q132" s="115"/>
      <c r="R132" s="108" t="str">
        <f t="shared" si="171"/>
        <v/>
      </c>
      <c r="S132" s="78"/>
      <c r="T132" s="78"/>
      <c r="U132" s="109" t="str">
        <f t="shared" si="169"/>
        <v/>
      </c>
      <c r="V132" s="78"/>
      <c r="W132" s="78"/>
      <c r="X132" s="78"/>
      <c r="Y132" s="110" t="str">
        <f t="shared" si="172"/>
        <v/>
      </c>
      <c r="Z132" s="111" t="str">
        <f t="shared" si="159"/>
        <v/>
      </c>
      <c r="AA132" s="109" t="str">
        <f t="shared" si="170"/>
        <v/>
      </c>
      <c r="AB132" s="111" t="str">
        <f t="shared" si="161"/>
        <v/>
      </c>
      <c r="AC132" s="109" t="str">
        <f t="shared" si="173"/>
        <v/>
      </c>
      <c r="AD132" s="77" t="str">
        <f t="shared" ref="AD132:AD133" si="174">IFERROR(IF(OR(AND(Z132="Muy Baja",AB132="Leve"),AND(Z132="Muy Baja",AB132="Menor"),AND(Z132="Baja",AB132="Leve")),"Bajo",IF(OR(AND(Z132="Muy baja",AB132="Moderado"),AND(Z132="Baja",AB132="Menor"),AND(Z132="Baja",AB132="Moderado"),AND(Z132="Media",AB132="Leve"),AND(Z132="Media",AB132="Menor"),AND(Z132="Media",AB132="Moderado"),AND(Z132="Alta",AB132="Leve"),AND(Z132="Alta",AB132="Menor")),"Moderado",IF(OR(AND(Z132="Muy Baja",AB132="Mayor"),AND(Z132="Baja",AB132="Mayor"),AND(Z132="Media",AB132="Mayor"),AND(Z132="Alta",AB132="Moderado"),AND(Z132="Alta",AB132="Mayor"),AND(Z132="Muy Alta",AB132="Leve"),AND(Z132="Muy Alta",AB132="Menor"),AND(Z132="Muy Alta",AB132="Moderado"),AND(Z132="Muy Alta",AB132="Mayor")),"Alto",IF(OR(AND(Z132="Muy Baja",AB132="Catastrófico"),AND(Z132="Baja",AB132="Catastrófico"),AND(Z132="Media",AB132="Catastrófico"),AND(Z132="Alta",AB132="Catastrófico"),AND(Z132="Muy Alta",AB132="Catastrófico")),"Extremo","")))),"")</f>
        <v/>
      </c>
      <c r="AE132" s="78"/>
      <c r="AF132" s="105"/>
      <c r="AG132" s="105"/>
      <c r="AH132" s="118"/>
      <c r="AI132" s="118"/>
      <c r="AJ132" s="105"/>
      <c r="AK132" s="116"/>
      <c r="AL132" s="170"/>
      <c r="AM132" s="136"/>
      <c r="AN132" s="134"/>
      <c r="AO132" s="393"/>
    </row>
    <row r="133" spans="2:41" ht="53.25" customHeight="1" x14ac:dyDescent="0.2">
      <c r="B133" s="141"/>
      <c r="C133" s="172"/>
      <c r="D133" s="136"/>
      <c r="E133" s="143"/>
      <c r="F133" s="143"/>
      <c r="G133" s="143"/>
      <c r="H133" s="142"/>
      <c r="I133" s="139"/>
      <c r="J133" s="138"/>
      <c r="K133" s="137"/>
      <c r="L133" s="138">
        <f>IF(NOT(ISERROR(MATCH(K133,_xlfn.ANCHORARRAY(G138),0))),J184&amp;"Por favor no seleccionar los criterios de impacto",K133)</f>
        <v>0</v>
      </c>
      <c r="M133" s="139"/>
      <c r="N133" s="138"/>
      <c r="O133" s="134"/>
      <c r="P133" s="106">
        <v>6</v>
      </c>
      <c r="Q133" s="115"/>
      <c r="R133" s="108" t="str">
        <f t="shared" si="171"/>
        <v/>
      </c>
      <c r="S133" s="78"/>
      <c r="T133" s="78"/>
      <c r="U133" s="109" t="str">
        <f t="shared" si="169"/>
        <v/>
      </c>
      <c r="V133" s="78"/>
      <c r="W133" s="78"/>
      <c r="X133" s="78"/>
      <c r="Y133" s="110" t="str">
        <f t="shared" si="172"/>
        <v/>
      </c>
      <c r="Z133" s="111" t="str">
        <f t="shared" si="159"/>
        <v/>
      </c>
      <c r="AA133" s="109" t="str">
        <f t="shared" si="170"/>
        <v/>
      </c>
      <c r="AB133" s="111" t="str">
        <f t="shared" si="161"/>
        <v/>
      </c>
      <c r="AC133" s="109" t="str">
        <f t="shared" si="173"/>
        <v/>
      </c>
      <c r="AD133" s="77" t="str">
        <f t="shared" si="174"/>
        <v/>
      </c>
      <c r="AE133" s="78"/>
      <c r="AF133" s="105"/>
      <c r="AG133" s="105"/>
      <c r="AH133" s="118"/>
      <c r="AI133" s="118"/>
      <c r="AJ133" s="105"/>
      <c r="AK133" s="116"/>
      <c r="AL133" s="170"/>
      <c r="AM133" s="136"/>
      <c r="AN133" s="134"/>
      <c r="AO133" s="393"/>
    </row>
    <row r="134" spans="2:41" ht="114.75" customHeight="1" x14ac:dyDescent="0.2">
      <c r="B134" s="141" t="s">
        <v>403</v>
      </c>
      <c r="C134" s="172" t="s">
        <v>194</v>
      </c>
      <c r="D134" s="173" t="s">
        <v>404</v>
      </c>
      <c r="E134" s="142" t="s">
        <v>231</v>
      </c>
      <c r="F134" s="142" t="s">
        <v>405</v>
      </c>
      <c r="G134" s="142" t="s">
        <v>406</v>
      </c>
      <c r="H134" s="174" t="s">
        <v>61</v>
      </c>
      <c r="I134" s="139" t="str">
        <f t="shared" ref="I134" si="175">IF(H134&lt;=0,"",IF(H134="No se ha presentado en los últimos 5 años","Rara vez",IF(H134="Al menos 1 vez en los últimos 5 años","Improbable",IF(H134="Al menos 1 vez en los últimos 2 años","Posible",IF(H134="Al menos 1 vez en el último año","Probable",IF(H134="Más de 1 vez al año","Casi Seguro"))))))</f>
        <v>Rara vez</v>
      </c>
      <c r="J134" s="138">
        <f t="shared" ref="J134" si="176">IF(I134="","",IF(I134="Rara vez",0.2,IF(I134="Improbable",0.4,IF(I134="Posible",0.6,IF(I134="Probable",0.8,IF(I134="Casi Seguro",1,))))))</f>
        <v>0.2</v>
      </c>
      <c r="K134" s="137" t="s">
        <v>82</v>
      </c>
      <c r="L134" s="138" t="str">
        <f>IF(NOT(ISERROR(MATCH(K134,'[11]Tabla Impacto'!$B$220:$B$222,0))),'[11]Tabla Impacto'!$F$222&amp;"Por favor no seleccionar los criterios de impacto(Criterios para calificar el impacto)",K134)</f>
        <v xml:space="preserve">Responder afirmativamente de DOCE a DIECINUEVE </v>
      </c>
      <c r="M134" s="139" t="str">
        <f>IF(OR(L134='[11]Tabla Impacto'!$C$5),"Moderado",IF(OR(L134='[11]Tabla Impacto'!$C$6),"Mayor",IF(OR(L134='[11]Tabla Impacto'!$C$7),"Catastrófico","")))</f>
        <v>Catastrófico</v>
      </c>
      <c r="N134" s="138">
        <f t="shared" ref="N134" si="177">IF(M134="","",IF(M134="Leve",0.2,IF(M134="Menor",0.4,IF(M134="Moderado",0.6,IF(M134="Mayor",0.8,IF(M134="Catastrófico",1,))))))</f>
        <v>1</v>
      </c>
      <c r="O134" s="134" t="str">
        <f t="shared" ref="O134" si="178">IF(OR(AND(I134="Rara vez",M134="Leve"),AND(I134="Rara vez",M134="Menor"),AND(I134="Improbable",M134="Leve")),"Bajo",IF(OR(AND(I134="Rara vez",M134="Moderado"),AND(I134="Improbable",M134="Menor"),AND(I134="Improbable",M134="Moderado"),AND(I134="Posible",M134="Leve"),AND(I134="Posible",M134="Menor"),AND(I134="Posible",M134="Moderado"),AND(I134="Probable",M134="Leve"),AND(I134="Probable",M134="Menor")),"Moderado",IF(OR(AND(I134="Rara vez",M134="Mayor"),AND(I134="Improbable",M134="Mayor"),AND(I134="Posible",M134="Mayor"),AND(I134="Probable",M134="Moderado"),AND(I134="Probable",M134="Mayor"),AND(I134="Casi Seguro",M134="Leve"),AND(I134="Casi Seguro",M134="Menor"),AND(I134="Casi Seguro",M134="Moderado"),AND(I134="Casi Seguro",M134="Mayor")),"Alto",IF(OR(AND(I134="Rara vez",M134="Catastrófico"),AND(I134="Improbable",M134="Catastrófico"),AND(I134="Posible",M134="Catastrófico"),AND(I134="Probable",M134="Catastrófico"),AND(I134="Casi Seguro",M134="Catastrófico")),"Extremo",""))))</f>
        <v>Extremo</v>
      </c>
      <c r="P134" s="106">
        <v>1</v>
      </c>
      <c r="Q134" s="115" t="s">
        <v>485</v>
      </c>
      <c r="R134" s="108" t="str">
        <f>IF(OR(S134="Preventivo",S134="Detectivo"),"Probabilidad",IF(S134="Correctivo","Impacto",""))</f>
        <v>Probabilidad</v>
      </c>
      <c r="S134" s="78" t="s">
        <v>144</v>
      </c>
      <c r="T134" s="78" t="s">
        <v>152</v>
      </c>
      <c r="U134" s="109" t="str">
        <f>IF(AND(S134="Preventivo",T134="Automático"),"50%",IF(AND(S134="Preventivo",T134="Manual"),"40%",IF(AND(S134="Detectivo",T134="Automático"),"40%",IF(AND(S134="Detectivo",T134="Manual"),"30%",IF(AND(S134="Correctivo",T134="Automático"),"35%",IF(AND(S134="Correctivo",T134="Manual"),"25%",""))))))</f>
        <v>40%</v>
      </c>
      <c r="V134" s="78" t="s">
        <v>155</v>
      </c>
      <c r="W134" s="78" t="s">
        <v>159</v>
      </c>
      <c r="X134" s="78" t="s">
        <v>165</v>
      </c>
      <c r="Y134" s="110">
        <f>IFERROR(IF(R134="Probabilidad",(J134-(+J134*U134)),IF(R134="Impacto",J134,"")),"")</f>
        <v>0.12</v>
      </c>
      <c r="Z134" s="111" t="str">
        <f t="shared" si="159"/>
        <v>Rara vez</v>
      </c>
      <c r="AA134" s="109">
        <f>+Y134</f>
        <v>0.12</v>
      </c>
      <c r="AB134" s="111" t="str">
        <f t="shared" si="161"/>
        <v>Catastrófico</v>
      </c>
      <c r="AC134" s="109">
        <f>IFERROR(IF(R134="Impacto",(N134-(+N134*U134)),IF(R134="Probabilidad",N134,"")),"")</f>
        <v>1</v>
      </c>
      <c r="AD134" s="77" t="str">
        <f t="shared" ref="AD134:AD136" si="179">IFERROR(IF(OR(AND(Z134="Rara vez",AB134="Leve"),AND(Z134="Rara vez",AB134="Menor"),AND(Z134="Improbable",AB134="Leve")),"Bajo",IF(OR(AND(Z134="Rara vez",AB134="Moderado"),AND(Z134="Improbable",AB134="Menor"),AND(Z134="Improbable",AB134="Moderado"),AND(Z134="Posible",AB134="Leve"),AND(Z134="Posible",AB134="Menor"),AND(Z134="Posible",AB134="Moderado"),AND(Z134="Probable",AB134="Leve"),AND(Z134="Probable",AB134="Menor")),"Moderado",IF(OR(AND(Z134="Rara vez",AB134="Mayor"),AND(Z134="Improbable",AB134="Mayor"),AND(Z134="Posible",AB134="Mayor"),AND(Z134="Probable",AB134="Moderado"),AND(Z134="Probable",AB134="Mayor"),AND(Z134="Casi Seguro",AB134="Leve"),AND(Z134="Casi Seguro",AB134="Menor"),AND(Z134="Casi Seguro",AB134="Moderado"),AND(Z134="Casi Seguro",AB134="Mayor")),"Alto",IF(OR(AND(Z134="Rara vez",AB134="Catastrófico"),AND(Z134="Improbable",AB134="Catastrófico"),AND(Z134="Posible",AB134="Catastrófico"),AND(Z134="Probable",AB134="Catastrófico"),AND(Z134="Casi Seguro",AB134="Catastrófico")),"Extremo","")))),"")</f>
        <v>Extremo</v>
      </c>
      <c r="AE134" s="78"/>
      <c r="AF134" s="105"/>
      <c r="AG134" s="105"/>
      <c r="AH134" s="118"/>
      <c r="AI134" s="118"/>
      <c r="AJ134" s="105"/>
      <c r="AK134" s="116"/>
      <c r="AL134" s="140">
        <v>45477</v>
      </c>
      <c r="AM134" s="135" t="s">
        <v>222</v>
      </c>
      <c r="AN134" s="134" t="str">
        <f>+O134</f>
        <v>Extremo</v>
      </c>
      <c r="AO134" s="393" t="str">
        <f>+AD136</f>
        <v>Alto</v>
      </c>
    </row>
    <row r="135" spans="2:41" ht="76.5" x14ac:dyDescent="0.2">
      <c r="B135" s="141"/>
      <c r="C135" s="172"/>
      <c r="D135" s="136"/>
      <c r="E135" s="142"/>
      <c r="F135" s="142"/>
      <c r="G135" s="142"/>
      <c r="H135" s="175"/>
      <c r="I135" s="139"/>
      <c r="J135" s="138"/>
      <c r="K135" s="137"/>
      <c r="L135" s="138">
        <f>IF(NOT(ISERROR(MATCH(K135,_xlfn.ANCHORARRAY(G190),0))),J192&amp;"Por favor no seleccionar los criterios de impacto",K135)</f>
        <v>0</v>
      </c>
      <c r="M135" s="139"/>
      <c r="N135" s="138"/>
      <c r="O135" s="134"/>
      <c r="P135" s="106">
        <v>2</v>
      </c>
      <c r="Q135" s="115" t="s">
        <v>407</v>
      </c>
      <c r="R135" s="108" t="str">
        <f>IF(OR(S135="Preventivo",S135="Detectivo"),"Probabilidad",IF(S135="Correctivo","Impacto",""))</f>
        <v>Probabilidad</v>
      </c>
      <c r="S135" s="78" t="s">
        <v>146</v>
      </c>
      <c r="T135" s="78" t="s">
        <v>152</v>
      </c>
      <c r="U135" s="109" t="str">
        <f>IF(AND(S135="Preventivo",T135="Automático"),"50%",IF(AND(S135="Preventivo",T135="Manual"),"40%",IF(AND(S135="Detectivo",T135="Automático"),"40%",IF(AND(S135="Detectivo",T135="Manual"),"30%",IF(AND(S135="Correctivo",T135="Automático"),"35%",IF(AND(S135="Correctivo",T135="Manual"),"25%",""))))))</f>
        <v>30%</v>
      </c>
      <c r="V135" s="78" t="s">
        <v>155</v>
      </c>
      <c r="W135" s="78" t="s">
        <v>159</v>
      </c>
      <c r="X135" s="78" t="s">
        <v>165</v>
      </c>
      <c r="Y135" s="110">
        <f>IFERROR(IF(AND(R134="Probabilidad",R135="Probabilidad"),(AA134-(+AA134*U135)),IF(R135="Probabilidad",(J134-(+J134*U135)),IF(R135="Impacto",AA134,""))),"")</f>
        <v>8.3999999999999991E-2</v>
      </c>
      <c r="Z135" s="111" t="str">
        <f t="shared" si="159"/>
        <v>Rara vez</v>
      </c>
      <c r="AA135" s="109">
        <f t="shared" ref="AA135:AA139" si="180">+Y135</f>
        <v>8.3999999999999991E-2</v>
      </c>
      <c r="AB135" s="111" t="str">
        <f t="shared" si="161"/>
        <v>Catastrófico</v>
      </c>
      <c r="AC135" s="109">
        <f>IFERROR(IF(AND(R134="Impacto",R135="Impacto"),(AC134-(+AC134*U135)),IF(R135="Impacto",(N134-(+N134*U135)),IF(R135="Probabilidad",AC134,""))),"")</f>
        <v>1</v>
      </c>
      <c r="AD135" s="77" t="str">
        <f t="shared" si="179"/>
        <v>Extremo</v>
      </c>
      <c r="AE135" s="78"/>
      <c r="AF135" s="105"/>
      <c r="AG135" s="105"/>
      <c r="AH135" s="118"/>
      <c r="AI135" s="118"/>
      <c r="AJ135" s="105"/>
      <c r="AK135" s="116"/>
      <c r="AL135" s="170"/>
      <c r="AM135" s="136"/>
      <c r="AN135" s="134"/>
      <c r="AO135" s="393"/>
    </row>
    <row r="136" spans="2:41" ht="142.5" x14ac:dyDescent="0.2">
      <c r="B136" s="141"/>
      <c r="C136" s="172"/>
      <c r="D136" s="136"/>
      <c r="E136" s="142"/>
      <c r="F136" s="142"/>
      <c r="G136" s="142"/>
      <c r="H136" s="175"/>
      <c r="I136" s="139"/>
      <c r="J136" s="138"/>
      <c r="K136" s="137"/>
      <c r="L136" s="138">
        <f>IF(NOT(ISERROR(MATCH(K136,_xlfn.ANCHORARRAY(G191),0))),J193&amp;"Por favor no seleccionar los criterios de impacto",K136)</f>
        <v>0</v>
      </c>
      <c r="M136" s="139"/>
      <c r="N136" s="138"/>
      <c r="O136" s="134"/>
      <c r="P136" s="106">
        <v>3</v>
      </c>
      <c r="Q136" s="115" t="s">
        <v>408</v>
      </c>
      <c r="R136" s="108" t="str">
        <f>IF(OR(S136="Preventivo",S136="Detectivo"),"Probabilidad",IF(S136="Correctivo","Impacto",""))</f>
        <v>Impacto</v>
      </c>
      <c r="S136" s="121" t="s">
        <v>148</v>
      </c>
      <c r="T136" s="78" t="s">
        <v>152</v>
      </c>
      <c r="U136" s="109" t="str">
        <f>IF(AND(S136="Preventivo",T136="Automático"),"50%",IF(AND(S136="Preventivo",T136="Manual"),"40%",IF(AND(S136="Detectivo",T136="Automático"),"40%",IF(AND(S136="Detectivo",T136="Manual"),"30%",IF(AND(S136="Correctivo",T136="Automático"),"35%",IF(AND(S136="Correctivo",T136="Manual"),"25%",""))))))</f>
        <v>25%</v>
      </c>
      <c r="V136" s="78" t="s">
        <v>155</v>
      </c>
      <c r="W136" s="78" t="s">
        <v>159</v>
      </c>
      <c r="X136" s="78" t="s">
        <v>163</v>
      </c>
      <c r="Y136" s="110">
        <f>IFERROR(IF(AND(R135="Probabilidad",R136="Probabilidad"),(AA135-(+AA135*U136)),IF(AND(R135="Impacto",R136="Probabilidad"),(AA134-(+AA134*U136)),IF(R136="Impacto",AA135,""))),"")</f>
        <v>8.3999999999999991E-2</v>
      </c>
      <c r="Z136" s="111" t="str">
        <f t="shared" si="159"/>
        <v>Rara vez</v>
      </c>
      <c r="AA136" s="109">
        <f t="shared" si="180"/>
        <v>8.3999999999999991E-2</v>
      </c>
      <c r="AB136" s="111" t="str">
        <f t="shared" si="161"/>
        <v>Mayor</v>
      </c>
      <c r="AC136" s="109">
        <f>IFERROR(IF(AND(R135="Impacto",R136="Impacto"),(AC135-(+AC135*U136)),IF(AND(R135="Probabilidad",R136="Impacto"),(AC134-(+AC134*U136)),IF(R136="Probabilidad",AC135,""))),"")</f>
        <v>0.75</v>
      </c>
      <c r="AD136" s="77" t="str">
        <f t="shared" si="179"/>
        <v>Alto</v>
      </c>
      <c r="AE136" s="78" t="s">
        <v>173</v>
      </c>
      <c r="AF136" s="123" t="s">
        <v>465</v>
      </c>
      <c r="AG136" s="123" t="s">
        <v>398</v>
      </c>
      <c r="AH136" s="124">
        <v>45657</v>
      </c>
      <c r="AI136" s="118"/>
      <c r="AJ136" s="105"/>
      <c r="AK136" s="116" t="s">
        <v>176</v>
      </c>
      <c r="AL136" s="170"/>
      <c r="AM136" s="136"/>
      <c r="AN136" s="134"/>
      <c r="AO136" s="393"/>
    </row>
    <row r="137" spans="2:41" ht="53.25" customHeight="1" x14ac:dyDescent="0.2">
      <c r="B137" s="141"/>
      <c r="C137" s="172"/>
      <c r="D137" s="136"/>
      <c r="E137" s="142"/>
      <c r="F137" s="142"/>
      <c r="G137" s="142"/>
      <c r="H137" s="175"/>
      <c r="I137" s="139"/>
      <c r="J137" s="138"/>
      <c r="K137" s="137"/>
      <c r="L137" s="138">
        <f>IF(NOT(ISERROR(MATCH(K137,_xlfn.ANCHORARRAY(G192),0))),J194&amp;"Por favor no seleccionar los criterios de impacto",K137)</f>
        <v>0</v>
      </c>
      <c r="M137" s="139"/>
      <c r="N137" s="138"/>
      <c r="O137" s="134"/>
      <c r="P137" s="106">
        <v>4</v>
      </c>
      <c r="Q137" s="115"/>
      <c r="R137" s="108" t="str">
        <f t="shared" ref="R137:R139" si="181">IF(OR(S137="Preventivo",S137="Detectivo"),"Probabilidad",IF(S137="Correctivo","Impacto",""))</f>
        <v/>
      </c>
      <c r="S137" s="78"/>
      <c r="T137" s="78"/>
      <c r="U137" s="109" t="str">
        <f t="shared" ref="U137:U139" si="182">IF(AND(S137="Preventivo",T137="Automático"),"50%",IF(AND(S137="Preventivo",T137="Manual"),"40%",IF(AND(S137="Detectivo",T137="Automático"),"40%",IF(AND(S137="Detectivo",T137="Manual"),"30%",IF(AND(S137="Correctivo",T137="Automático"),"35%",IF(AND(S137="Correctivo",T137="Manual"),"25%",""))))))</f>
        <v/>
      </c>
      <c r="V137" s="78"/>
      <c r="W137" s="78"/>
      <c r="X137" s="78"/>
      <c r="Y137" s="110" t="str">
        <f t="shared" ref="Y137:Y139" si="183">IFERROR(IF(AND(R136="Probabilidad",R137="Probabilidad"),(AA136-(+AA136*U137)),IF(AND(R136="Impacto",R137="Probabilidad"),(AA135-(+AA135*U137)),IF(R137="Impacto",AA136,""))),"")</f>
        <v/>
      </c>
      <c r="Z137" s="111" t="str">
        <f t="shared" si="159"/>
        <v/>
      </c>
      <c r="AA137" s="109" t="str">
        <f t="shared" si="180"/>
        <v/>
      </c>
      <c r="AB137" s="111" t="str">
        <f t="shared" si="161"/>
        <v/>
      </c>
      <c r="AC137" s="109" t="str">
        <f t="shared" ref="AC137:AC139" si="184">IFERROR(IF(AND(R136="Impacto",R137="Impacto"),(AC136-(+AC136*U137)),IF(AND(R136="Probabilidad",R137="Impacto"),(AC135-(+AC135*U137)),IF(R137="Probabilidad",AC136,""))),"")</f>
        <v/>
      </c>
      <c r="AD137" s="77" t="str">
        <f>IFERROR(IF(OR(AND(Z137="Muy Baja",AB137="Leve"),AND(Z137="Muy Baja",AB137="Menor"),AND(Z137="Baja",AB137="Leve")),"Bajo",IF(OR(AND(Z137="Muy baja",AB137="Moderado"),AND(Z137="Baja",AB137="Menor"),AND(Z137="Baja",AB137="Moderado"),AND(Z137="Media",AB137="Leve"),AND(Z137="Media",AB137="Menor"),AND(Z137="Media",AB137="Moderado"),AND(Z137="Alta",AB137="Leve"),AND(Z137="Alta",AB137="Menor")),"Moderado",IF(OR(AND(Z137="Muy Baja",AB137="Mayor"),AND(Z137="Baja",AB137="Mayor"),AND(Z137="Media",AB137="Mayor"),AND(Z137="Alta",AB137="Moderado"),AND(Z137="Alta",AB137="Mayor"),AND(Z137="Muy Alta",AB137="Leve"),AND(Z137="Muy Alta",AB137="Menor"),AND(Z137="Muy Alta",AB137="Moderado"),AND(Z137="Muy Alta",AB137="Mayor")),"Alto",IF(OR(AND(Z137="Muy Baja",AB137="Catastrófico"),AND(Z137="Baja",AB137="Catastrófico"),AND(Z137="Media",AB137="Catastrófico"),AND(Z137="Alta",AB137="Catastrófico"),AND(Z137="Muy Alta",AB137="Catastrófico")),"Extremo","")))),"")</f>
        <v/>
      </c>
      <c r="AE137" s="78"/>
      <c r="AF137" s="105"/>
      <c r="AG137" s="105"/>
      <c r="AH137" s="118"/>
      <c r="AI137" s="118"/>
      <c r="AJ137" s="105"/>
      <c r="AK137" s="116"/>
      <c r="AL137" s="170"/>
      <c r="AM137" s="136"/>
      <c r="AN137" s="134"/>
      <c r="AO137" s="393"/>
    </row>
    <row r="138" spans="2:41" ht="53.25" customHeight="1" x14ac:dyDescent="0.2">
      <c r="B138" s="141"/>
      <c r="C138" s="172"/>
      <c r="D138" s="136"/>
      <c r="E138" s="142"/>
      <c r="F138" s="142"/>
      <c r="G138" s="142"/>
      <c r="H138" s="175"/>
      <c r="I138" s="139"/>
      <c r="J138" s="138"/>
      <c r="K138" s="137"/>
      <c r="L138" s="138">
        <f>IF(NOT(ISERROR(MATCH(K138,_xlfn.ANCHORARRAY(G193),0))),J195&amp;"Por favor no seleccionar los criterios de impacto",K138)</f>
        <v>0</v>
      </c>
      <c r="M138" s="139"/>
      <c r="N138" s="138"/>
      <c r="O138" s="134"/>
      <c r="P138" s="106">
        <v>5</v>
      </c>
      <c r="Q138" s="115"/>
      <c r="R138" s="108" t="str">
        <f t="shared" si="181"/>
        <v/>
      </c>
      <c r="S138" s="78"/>
      <c r="T138" s="78"/>
      <c r="U138" s="109" t="str">
        <f t="shared" si="182"/>
        <v/>
      </c>
      <c r="V138" s="78"/>
      <c r="W138" s="78"/>
      <c r="X138" s="78"/>
      <c r="Y138" s="119" t="str">
        <f t="shared" si="183"/>
        <v/>
      </c>
      <c r="Z138" s="111" t="str">
        <f t="shared" si="159"/>
        <v/>
      </c>
      <c r="AA138" s="109" t="str">
        <f t="shared" si="180"/>
        <v/>
      </c>
      <c r="AB138" s="111" t="str">
        <f t="shared" si="161"/>
        <v/>
      </c>
      <c r="AC138" s="109" t="str">
        <f t="shared" si="184"/>
        <v/>
      </c>
      <c r="AD138" s="77" t="str">
        <f t="shared" ref="AD138:AD139" si="185">IFERROR(IF(OR(AND(Z138="Muy Baja",AB138="Leve"),AND(Z138="Muy Baja",AB138="Menor"),AND(Z138="Baja",AB138="Leve")),"Bajo",IF(OR(AND(Z138="Muy baja",AB138="Moderado"),AND(Z138="Baja",AB138="Menor"),AND(Z138="Baja",AB138="Moderado"),AND(Z138="Media",AB138="Leve"),AND(Z138="Media",AB138="Menor"),AND(Z138="Media",AB138="Moderado"),AND(Z138="Alta",AB138="Leve"),AND(Z138="Alta",AB138="Menor")),"Moderado",IF(OR(AND(Z138="Muy Baja",AB138="Mayor"),AND(Z138="Baja",AB138="Mayor"),AND(Z138="Media",AB138="Mayor"),AND(Z138="Alta",AB138="Moderado"),AND(Z138="Alta",AB138="Mayor"),AND(Z138="Muy Alta",AB138="Leve"),AND(Z138="Muy Alta",AB138="Menor"),AND(Z138="Muy Alta",AB138="Moderado"),AND(Z138="Muy Alta",AB138="Mayor")),"Alto",IF(OR(AND(Z138="Muy Baja",AB138="Catastrófico"),AND(Z138="Baja",AB138="Catastrófico"),AND(Z138="Media",AB138="Catastrófico"),AND(Z138="Alta",AB138="Catastrófico"),AND(Z138="Muy Alta",AB138="Catastrófico")),"Extremo","")))),"")</f>
        <v/>
      </c>
      <c r="AE138" s="78"/>
      <c r="AF138" s="105"/>
      <c r="AG138" s="112"/>
      <c r="AH138" s="113"/>
      <c r="AI138" s="113"/>
      <c r="AJ138" s="105"/>
      <c r="AK138" s="114"/>
      <c r="AL138" s="170"/>
      <c r="AM138" s="136"/>
      <c r="AN138" s="134"/>
      <c r="AO138" s="393"/>
    </row>
    <row r="139" spans="2:41" ht="53.25" customHeight="1" x14ac:dyDescent="0.2">
      <c r="B139" s="141"/>
      <c r="C139" s="172"/>
      <c r="D139" s="136"/>
      <c r="E139" s="142"/>
      <c r="F139" s="142"/>
      <c r="G139" s="142"/>
      <c r="H139" s="175"/>
      <c r="I139" s="139"/>
      <c r="J139" s="138"/>
      <c r="K139" s="137"/>
      <c r="L139" s="138">
        <f>IF(NOT(ISERROR(MATCH(K139,_xlfn.ANCHORARRAY(G194),0))),J196&amp;"Por favor no seleccionar los criterios de impacto",K139)</f>
        <v>0</v>
      </c>
      <c r="M139" s="139"/>
      <c r="N139" s="138"/>
      <c r="O139" s="134"/>
      <c r="P139" s="106">
        <v>6</v>
      </c>
      <c r="Q139" s="115"/>
      <c r="R139" s="108" t="str">
        <f t="shared" si="181"/>
        <v/>
      </c>
      <c r="S139" s="78"/>
      <c r="T139" s="78"/>
      <c r="U139" s="109" t="str">
        <f t="shared" si="182"/>
        <v/>
      </c>
      <c r="V139" s="78"/>
      <c r="W139" s="78"/>
      <c r="X139" s="78"/>
      <c r="Y139" s="110" t="str">
        <f t="shared" si="183"/>
        <v/>
      </c>
      <c r="Z139" s="111" t="str">
        <f t="shared" si="159"/>
        <v/>
      </c>
      <c r="AA139" s="109" t="str">
        <f t="shared" si="180"/>
        <v/>
      </c>
      <c r="AB139" s="111" t="str">
        <f t="shared" si="161"/>
        <v/>
      </c>
      <c r="AC139" s="109" t="str">
        <f t="shared" si="184"/>
        <v/>
      </c>
      <c r="AD139" s="77" t="str">
        <f t="shared" si="185"/>
        <v/>
      </c>
      <c r="AE139" s="78"/>
      <c r="AF139" s="105"/>
      <c r="AG139" s="112"/>
      <c r="AH139" s="113"/>
      <c r="AI139" s="113"/>
      <c r="AJ139" s="105"/>
      <c r="AK139" s="114"/>
      <c r="AL139" s="170"/>
      <c r="AM139" s="136"/>
      <c r="AN139" s="134"/>
      <c r="AO139" s="393"/>
    </row>
    <row r="140" spans="2:41" ht="85.5" x14ac:dyDescent="0.2">
      <c r="B140" s="141" t="s">
        <v>409</v>
      </c>
      <c r="C140" s="142" t="s">
        <v>209</v>
      </c>
      <c r="D140" s="136" t="s">
        <v>410</v>
      </c>
      <c r="E140" s="142" t="s">
        <v>411</v>
      </c>
      <c r="F140" s="142" t="s">
        <v>412</v>
      </c>
      <c r="G140" s="136" t="s">
        <v>413</v>
      </c>
      <c r="H140" s="142" t="s">
        <v>61</v>
      </c>
      <c r="I140" s="139" t="str">
        <f>IF(H140&lt;=0,"",IF(H140="No se ha presentado en los últimos 5 años","Rara vez",IF(H140="Al menos 1 vez en los últimos 5 años","Improbable",IF(H140="Al menos 1 vez en los últimos 2 años","Posible",IF(H140="Al menos 1 vez en el último año","Probable",IF(H140="Más de 1 vez al año","Casi Seguro"))))))</f>
        <v>Rara vez</v>
      </c>
      <c r="J140" s="138">
        <f>IF(I140="","",IF(I140="Rara vez",0.2,IF(I140="Improbable",0.4,IF(I140="Posible",0.6,IF(I140="Probable",0.8,IF(I140="Casi Seguro",1,))))))</f>
        <v>0.2</v>
      </c>
      <c r="K140" s="137" t="s">
        <v>76</v>
      </c>
      <c r="L140" s="138" t="str">
        <f>IF(NOT(ISERROR(MATCH(K140,'[12]Tabla Impacto'!$B$220:$B$222,0))),'[12]Tabla Impacto'!$F$222&amp;"Por favor no seleccionar los criterios de impacto(Criterios para calificar el impacto)",K140)</f>
        <v>Responder afirmativamente de SEIS a ONCE</v>
      </c>
      <c r="M140" s="139" t="str">
        <f>IF(OR(L140='[12]Tabla Impacto'!$C$5),"Moderado",IF(OR(L140='[12]Tabla Impacto'!$C$6),"Mayor",IF(OR(L140='[12]Tabla Impacto'!$C$7),"Catastrófico","")))</f>
        <v>Mayor</v>
      </c>
      <c r="N140" s="138">
        <f>IF(M140="","",IF(M140="Leve",0.2,IF(M140="Menor",0.4,IF(M140="Moderado",0.6,IF(M140="Mayor",0.8,IF(M140="Catastrófico",1,))))))</f>
        <v>0.8</v>
      </c>
      <c r="O140" s="134" t="str">
        <f>IF(OR(AND(I140="Rara vez",M140="Leve"),AND(I140="Rara vez",M140="Menor"),AND(I140="Improbable",M140="Leve")),"Bajo",IF(OR(AND(I140="Rara vez",M140="Moderado"),AND(I140="Improbable",M140="Menor"),AND(I140="Improbable",M140="Moderado"),AND(I140="Posible",M140="Leve"),AND(I140="Posible",M140="Menor"),AND(I140="Posible",M140="Moderado"),AND(I140="Probable",M140="Leve"),AND(I140="Probable",M140="Menor")),"Moderado",IF(OR(AND(I140="Rara vez",M140="Mayor"),AND(I140="Improbable",M140="Mayor"),AND(I140="Posible",M140="Mayor"),AND(I140="Probable",M140="Moderado"),AND(I140="Probable",M140="Mayor"),AND(I140="Casi Seguro",M140="Leve"),AND(I140="Casi Seguro",M140="Menor"),AND(I140="Casi Seguro",M140="Moderado"),AND(I140="Casi Seguro",M140="Mayor")),"Alto",IF(OR(AND(I140="Rara vez",M140="Catastrófico"),AND(I140="Improbable",M140="Catastrófico"),AND(I140="Posible",M140="Catastrófico"),AND(I140="Probable",M140="Catastrófico"),AND(I140="Casi Seguro",M140="Catastrófico")),"Extremo",""))))</f>
        <v>Alto</v>
      </c>
      <c r="P140" s="106">
        <v>1</v>
      </c>
      <c r="Q140" s="115" t="s">
        <v>414</v>
      </c>
      <c r="R140" s="108" t="str">
        <f>IF(OR(S140="Preventivo",S140="Detectivo"),"Probabilidad",IF(S140="Correctivo","Impacto",""))</f>
        <v>Probabilidad</v>
      </c>
      <c r="S140" s="78" t="s">
        <v>144</v>
      </c>
      <c r="T140" s="78" t="s">
        <v>152</v>
      </c>
      <c r="U140" s="109" t="str">
        <f>IF(AND(S140="Preventivo",T140="Automático"),"50%",IF(AND(S140="Preventivo",T140="Manual"),"40%",IF(AND(S140="Detectivo",T140="Automático"),"40%",IF(AND(S140="Detectivo",T140="Manual"),"30%",IF(AND(S140="Correctivo",T140="Automático"),"35%",IF(AND(S140="Correctivo",T140="Manual"),"25%",""))))))</f>
        <v>40%</v>
      </c>
      <c r="V140" s="78" t="s">
        <v>157</v>
      </c>
      <c r="W140" s="78" t="s">
        <v>159</v>
      </c>
      <c r="X140" s="78" t="s">
        <v>163</v>
      </c>
      <c r="Y140" s="110">
        <f>IFERROR(IF(R140="Probabilidad",(J140-(+J140*U140)),IF(R140="Impacto",J140,"")),"")</f>
        <v>0.12</v>
      </c>
      <c r="Z140" s="111" t="str">
        <f>IFERROR(IF(Y140="","",IF(Y140&lt;=0.2,"Rara vez",IF(Y140&lt;=0.4,"Improbable",IF(Y140&lt;=0.6,"Posible",IF(Y140&lt;=0.8,"Probable","Casi Seguro"))))),"")</f>
        <v>Rara vez</v>
      </c>
      <c r="AA140" s="109">
        <f>+Y140</f>
        <v>0.12</v>
      </c>
      <c r="AB140" s="111" t="str">
        <f>IFERROR(IF(AC140="","",IF(AC140&lt;=0.6,"Moderado",IF(AC140&lt;=0.8,"Mayor","Catastrófico"))),"")</f>
        <v>Mayor</v>
      </c>
      <c r="AC140" s="109">
        <f>IFERROR(IF(R140="Impacto",(N140-(+N140*U140)),IF(R140="Probabilidad",N140,"")),"")</f>
        <v>0.8</v>
      </c>
      <c r="AD140" s="77" t="str">
        <f>IFERROR(IF(OR(AND(Z140="Rara vez",AB140="Leve"),AND(Z140="Rara vez",AB140="Menor"),AND(Z140="Improbable",AB140="Leve")),"Bajo",IF(OR(AND(Z140="Rara vez",AB140="Moderado"),AND(Z140="Improbable",AB140="Menor"),AND(Z140="Improbable",AB140="Moderado"),AND(Z140="Posible",AB140="Leve"),AND(Z140="Posible",AB140="Menor"),AND(Z140="Posible",AB140="Moderado"),AND(Z140="Probable",AB140="Leve"),AND(Z140="Probable",AB140="Menor")),"Moderado",IF(OR(AND(Z140="Rara vez",AB140="Mayor"),AND(Z140="Improbable",AB140="Mayor"),AND(Z140="Posible",AB140="Mayor"),AND(Z140="Probable",AB140="Moderado"),AND(Z140="Probable",AB140="Mayor"),AND(Z140="Casi Seguro",AB140="Leve"),AND(Z140="Casi Seguro",AB140="Menor"),AND(Z140="Casi Seguro",AB140="Moderado"),AND(Z140="Casi Seguro",AB140="Mayor")),"Alto",IF(OR(AND(Z140="Rara vez",AB140="Catastrófico"),AND(Z140="Improbable",AB140="Catastrófico"),AND(Z140="Posible",AB140="Catastrófico"),AND(Z140="Probable",AB140="Catastrófico"),AND(Z140="Casi Seguro",AB140="Catastrófico")),"Extremo","")))),"")</f>
        <v>Alto</v>
      </c>
      <c r="AE140" s="78"/>
      <c r="AF140" s="105"/>
      <c r="AG140" s="112"/>
      <c r="AH140" s="113"/>
      <c r="AI140" s="113"/>
      <c r="AJ140" s="105"/>
      <c r="AK140" s="114"/>
      <c r="AL140" s="140">
        <v>45516</v>
      </c>
      <c r="AM140" s="135" t="s">
        <v>375</v>
      </c>
      <c r="AN140" s="134" t="str">
        <f>+O140</f>
        <v>Alto</v>
      </c>
      <c r="AO140" s="393" t="str">
        <f>+AD140</f>
        <v>Alto</v>
      </c>
    </row>
    <row r="141" spans="2:41" ht="85.5" x14ac:dyDescent="0.2">
      <c r="B141" s="141"/>
      <c r="C141" s="142"/>
      <c r="D141" s="136"/>
      <c r="E141" s="142"/>
      <c r="F141" s="142"/>
      <c r="G141" s="136"/>
      <c r="H141" s="142"/>
      <c r="I141" s="139"/>
      <c r="J141" s="138"/>
      <c r="K141" s="137"/>
      <c r="L141" s="138">
        <f>IF(NOT(ISERROR(MATCH(K141,_xlfn.ANCHORARRAY(G152),0))),J154&amp;"Por favor no seleccionar los criterios de impacto",K141)</f>
        <v>0</v>
      </c>
      <c r="M141" s="139"/>
      <c r="N141" s="138"/>
      <c r="O141" s="134"/>
      <c r="P141" s="106">
        <v>2</v>
      </c>
      <c r="Q141" s="115" t="s">
        <v>415</v>
      </c>
      <c r="R141" s="108" t="str">
        <f>IF(OR(S141="Preventivo",S141="Detectivo"),"Probabilidad",IF(S141="Correctivo","Impacto",""))</f>
        <v>Probabilidad</v>
      </c>
      <c r="S141" s="78" t="s">
        <v>144</v>
      </c>
      <c r="T141" s="78" t="s">
        <v>152</v>
      </c>
      <c r="U141" s="109" t="str">
        <f t="shared" ref="U141:U154" si="186">IF(AND(S141="Preventivo",T141="Automático"),"50%",IF(AND(S141="Preventivo",T141="Manual"),"40%",IF(AND(S141="Detectivo",T141="Automático"),"40%",IF(AND(S141="Detectivo",T141="Manual"),"30%",IF(AND(S141="Correctivo",T141="Automático"),"35%",IF(AND(S141="Correctivo",T141="Manual"),"25%",""))))))</f>
        <v>40%</v>
      </c>
      <c r="V141" s="78" t="s">
        <v>157</v>
      </c>
      <c r="W141" s="78" t="s">
        <v>159</v>
      </c>
      <c r="X141" s="78" t="s">
        <v>165</v>
      </c>
      <c r="Y141" s="110">
        <f>IFERROR(IF(AND(R140="Probabilidad",R141="Probabilidad"),(AA140-(+AA140*U141)),IF(R141="Probabilidad",(J140-(+J140*U141)),IF(R141="Impacto",AA140,""))),"")</f>
        <v>7.1999999999999995E-2</v>
      </c>
      <c r="Z141" s="111" t="str">
        <f t="shared" ref="Z141:Z145" si="187">IFERROR(IF(Y141="","",IF(Y141&lt;=0.2,"Rara vez",IF(Y141&lt;=0.4,"Improbable",IF(Y141&lt;=0.6,"Posible",IF(Y141&lt;=0.8,"Probable","Casi Seguro"))))),"")</f>
        <v>Rara vez</v>
      </c>
      <c r="AA141" s="109">
        <f t="shared" ref="AA141:AA145" si="188">+Y141</f>
        <v>7.1999999999999995E-2</v>
      </c>
      <c r="AB141" s="111" t="str">
        <f t="shared" ref="AB141:AB145" si="189">IFERROR(IF(AC141="","",IF(AC141&lt;=0.6,"Moderado",IF(AC141&lt;=0.8,"Mayor","Catastrófico"))),"")</f>
        <v>Mayor</v>
      </c>
      <c r="AC141" s="109">
        <f>IFERROR(IF(AND(R140="Impacto",R141="Impacto"),(AC140-(+AC140*U141)),IF(R141="Impacto",(N140-(+N140*U141)),IF(R141="Probabilidad",AC140,""))),"")</f>
        <v>0.8</v>
      </c>
      <c r="AD141" s="77" t="str">
        <f t="shared" ref="AD141:AD145" si="190">IFERROR(IF(OR(AND(Z141="Rara vez",AB141="Leve"),AND(Z141="Rara vez",AB141="Menor"),AND(Z141="Improbable",AB141="Leve")),"Bajo",IF(OR(AND(Z141="Rara vez",AB141="Moderado"),AND(Z141="Improbable",AB141="Menor"),AND(Z141="Improbable",AB141="Moderado"),AND(Z141="Posible",AB141="Leve"),AND(Z141="Posible",AB141="Menor"),AND(Z141="Posible",AB141="Moderado"),AND(Z141="Probable",AB141="Leve"),AND(Z141="Probable",AB141="Menor")),"Moderado",IF(OR(AND(Z141="Rara vez",AB141="Mayor"),AND(Z141="Improbable",AB141="Mayor"),AND(Z141="Posible",AB141="Mayor"),AND(Z141="Probable",AB141="Moderado"),AND(Z141="Probable",AB141="Mayor"),AND(Z141="Casi Seguro",AB141="Leve"),AND(Z141="Casi Seguro",AB141="Menor"),AND(Z141="Casi Seguro",AB141="Moderado"),AND(Z141="Casi Seguro",AB141="Mayor")),"Alto",IF(OR(AND(Z141="Rara vez",AB141="Catastrófico"),AND(Z141="Improbable",AB141="Catastrófico"),AND(Z141="Posible",AB141="Catastrófico"),AND(Z141="Probable",AB141="Catastrófico"),AND(Z141="Casi Seguro",AB141="Catastrófico")),"Extremo","")))),"")</f>
        <v>Alto</v>
      </c>
      <c r="AE141" s="78"/>
      <c r="AF141" s="105"/>
      <c r="AG141" s="112"/>
      <c r="AH141" s="113"/>
      <c r="AI141" s="113"/>
      <c r="AJ141" s="105"/>
      <c r="AK141" s="114"/>
      <c r="AL141" s="170"/>
      <c r="AM141" s="136"/>
      <c r="AN141" s="134"/>
      <c r="AO141" s="393"/>
    </row>
    <row r="142" spans="2:41" ht="85.5" x14ac:dyDescent="0.2">
      <c r="B142" s="141"/>
      <c r="C142" s="142"/>
      <c r="D142" s="136"/>
      <c r="E142" s="142"/>
      <c r="F142" s="142"/>
      <c r="G142" s="136"/>
      <c r="H142" s="142"/>
      <c r="I142" s="139"/>
      <c r="J142" s="138"/>
      <c r="K142" s="137"/>
      <c r="L142" s="138">
        <f>IF(NOT(ISERROR(MATCH(K142,_xlfn.ANCHORARRAY(G153),0))),J155&amp;"Por favor no seleccionar los criterios de impacto",K142)</f>
        <v>0</v>
      </c>
      <c r="M142" s="139"/>
      <c r="N142" s="138"/>
      <c r="O142" s="134"/>
      <c r="P142" s="106">
        <v>3</v>
      </c>
      <c r="Q142" s="115" t="s">
        <v>416</v>
      </c>
      <c r="R142" s="108" t="str">
        <f>IF(OR(S142="Preventivo",S142="Detectivo"),"Probabilidad",IF(S142="Correctivo","Impacto",""))</f>
        <v>Probabilidad</v>
      </c>
      <c r="S142" s="78" t="s">
        <v>146</v>
      </c>
      <c r="T142" s="78" t="s">
        <v>152</v>
      </c>
      <c r="U142" s="109" t="str">
        <f t="shared" si="186"/>
        <v>30%</v>
      </c>
      <c r="V142" s="78" t="s">
        <v>157</v>
      </c>
      <c r="W142" s="78" t="s">
        <v>159</v>
      </c>
      <c r="X142" s="78" t="s">
        <v>165</v>
      </c>
      <c r="Y142" s="110">
        <f>IFERROR(IF(AND(R141="Probabilidad",R142="Probabilidad"),(AA141-(+AA141*U142)),IF(AND(R141="Impacto",R142="Probabilidad"),(AA140-(+AA140*U142)),IF(R142="Impacto",AA141,""))),"")</f>
        <v>5.04E-2</v>
      </c>
      <c r="Z142" s="111" t="str">
        <f t="shared" si="187"/>
        <v>Rara vez</v>
      </c>
      <c r="AA142" s="109">
        <f t="shared" si="188"/>
        <v>5.04E-2</v>
      </c>
      <c r="AB142" s="111" t="str">
        <f t="shared" si="189"/>
        <v>Mayor</v>
      </c>
      <c r="AC142" s="109">
        <f>IFERROR(IF(AND(R141="Impacto",R142="Impacto"),(AC141-(+AC141*U142)),IF(AND(R141="Probabilidad",R142="Impacto"),(AC140-(+AC140*U142)),IF(R142="Probabilidad",AC141,""))),"")</f>
        <v>0.8</v>
      </c>
      <c r="AD142" s="77" t="str">
        <f t="shared" si="190"/>
        <v>Alto</v>
      </c>
      <c r="AE142" s="78"/>
      <c r="AF142" s="105"/>
      <c r="AG142" s="112"/>
      <c r="AH142" s="113"/>
      <c r="AI142" s="113"/>
      <c r="AJ142" s="105"/>
      <c r="AK142" s="114"/>
      <c r="AL142" s="170"/>
      <c r="AM142" s="136"/>
      <c r="AN142" s="134"/>
      <c r="AO142" s="393"/>
    </row>
    <row r="143" spans="2:41" ht="87.75" x14ac:dyDescent="0.2">
      <c r="B143" s="141"/>
      <c r="C143" s="142"/>
      <c r="D143" s="136"/>
      <c r="E143" s="142"/>
      <c r="F143" s="142"/>
      <c r="G143" s="136"/>
      <c r="H143" s="142"/>
      <c r="I143" s="139"/>
      <c r="J143" s="138"/>
      <c r="K143" s="137"/>
      <c r="L143" s="138">
        <f>IF(NOT(ISERROR(MATCH(K143,_xlfn.ANCHORARRAY(G154),0))),J156&amp;"Por favor no seleccionar los criterios de impacto",K143)</f>
        <v>0</v>
      </c>
      <c r="M143" s="139"/>
      <c r="N143" s="138"/>
      <c r="O143" s="134"/>
      <c r="P143" s="106">
        <v>4</v>
      </c>
      <c r="Q143" s="115" t="s">
        <v>417</v>
      </c>
      <c r="R143" s="108" t="str">
        <f t="shared" ref="R143:R145" si="191">IF(OR(S143="Preventivo",S143="Detectivo"),"Probabilidad",IF(S143="Correctivo","Impacto",""))</f>
        <v>Probabilidad</v>
      </c>
      <c r="S143" s="78" t="s">
        <v>144</v>
      </c>
      <c r="T143" s="78" t="s">
        <v>152</v>
      </c>
      <c r="U143" s="109" t="str">
        <f t="shared" si="186"/>
        <v>40%</v>
      </c>
      <c r="V143" s="78" t="s">
        <v>157</v>
      </c>
      <c r="W143" s="78" t="s">
        <v>159</v>
      </c>
      <c r="X143" s="78" t="s">
        <v>165</v>
      </c>
      <c r="Y143" s="110">
        <f t="shared" ref="Y143:Y145" si="192">IFERROR(IF(AND(R142="Probabilidad",R143="Probabilidad"),(AA142-(+AA142*U143)),IF(AND(R142="Impacto",R143="Probabilidad"),(AA141-(+AA141*U143)),IF(R143="Impacto",AA142,""))),"")</f>
        <v>3.024E-2</v>
      </c>
      <c r="Z143" s="111" t="str">
        <f t="shared" si="187"/>
        <v>Rara vez</v>
      </c>
      <c r="AA143" s="109">
        <f t="shared" si="188"/>
        <v>3.024E-2</v>
      </c>
      <c r="AB143" s="111" t="str">
        <f t="shared" si="189"/>
        <v>Mayor</v>
      </c>
      <c r="AC143" s="109">
        <f t="shared" ref="AC143:AC145" si="193">IFERROR(IF(AND(R142="Impacto",R143="Impacto"),(AC142-(+AC142*U143)),IF(AND(R142="Probabilidad",R143="Impacto"),(AC141-(+AC141*U143)),IF(R143="Probabilidad",AC142,""))),"")</f>
        <v>0.8</v>
      </c>
      <c r="AD143" s="77" t="str">
        <f t="shared" si="190"/>
        <v>Alto</v>
      </c>
      <c r="AE143" s="78" t="s">
        <v>173</v>
      </c>
      <c r="AF143" s="105"/>
      <c r="AG143" s="112"/>
      <c r="AH143" s="113"/>
      <c r="AI143" s="113"/>
      <c r="AJ143" s="105"/>
      <c r="AK143" s="114"/>
      <c r="AL143" s="170"/>
      <c r="AM143" s="136"/>
      <c r="AN143" s="134"/>
      <c r="AO143" s="393"/>
    </row>
    <row r="144" spans="2:41" x14ac:dyDescent="0.2">
      <c r="B144" s="141"/>
      <c r="C144" s="142"/>
      <c r="D144" s="136"/>
      <c r="E144" s="142"/>
      <c r="F144" s="142"/>
      <c r="G144" s="136"/>
      <c r="H144" s="142"/>
      <c r="I144" s="139"/>
      <c r="J144" s="138"/>
      <c r="K144" s="137"/>
      <c r="L144" s="138">
        <f>IF(NOT(ISERROR(MATCH(K144,_xlfn.ANCHORARRAY(G155),0))),J157&amp;"Por favor no seleccionar los criterios de impacto",K144)</f>
        <v>0</v>
      </c>
      <c r="M144" s="139"/>
      <c r="N144" s="138"/>
      <c r="O144" s="134"/>
      <c r="P144" s="106">
        <v>5</v>
      </c>
      <c r="Q144" s="115"/>
      <c r="R144" s="108" t="str">
        <f t="shared" si="191"/>
        <v/>
      </c>
      <c r="S144" s="78"/>
      <c r="T144" s="78"/>
      <c r="U144" s="109" t="str">
        <f t="shared" si="186"/>
        <v/>
      </c>
      <c r="V144" s="78"/>
      <c r="W144" s="78"/>
      <c r="X144" s="78"/>
      <c r="Y144" s="110" t="str">
        <f t="shared" si="192"/>
        <v/>
      </c>
      <c r="Z144" s="111" t="str">
        <f t="shared" si="187"/>
        <v/>
      </c>
      <c r="AA144" s="109" t="str">
        <f t="shared" si="188"/>
        <v/>
      </c>
      <c r="AB144" s="111" t="str">
        <f t="shared" si="189"/>
        <v/>
      </c>
      <c r="AC144" s="109" t="str">
        <f t="shared" si="193"/>
        <v/>
      </c>
      <c r="AD144" s="77" t="str">
        <f t="shared" si="190"/>
        <v/>
      </c>
      <c r="AE144" s="78"/>
      <c r="AF144" s="105"/>
      <c r="AG144" s="112"/>
      <c r="AH144" s="113"/>
      <c r="AI144" s="113"/>
      <c r="AJ144" s="105"/>
      <c r="AK144" s="114"/>
      <c r="AL144" s="170"/>
      <c r="AM144" s="136"/>
      <c r="AN144" s="134"/>
      <c r="AO144" s="393"/>
    </row>
    <row r="145" spans="2:41" x14ac:dyDescent="0.2">
      <c r="B145" s="141"/>
      <c r="C145" s="142"/>
      <c r="D145" s="136"/>
      <c r="E145" s="142"/>
      <c r="F145" s="142"/>
      <c r="G145" s="136"/>
      <c r="H145" s="142"/>
      <c r="I145" s="139"/>
      <c r="J145" s="138"/>
      <c r="K145" s="137"/>
      <c r="L145" s="138">
        <f>IF(NOT(ISERROR(MATCH(K145,_xlfn.ANCHORARRAY(G156),0))),J160&amp;"Por favor no seleccionar los criterios de impacto",K145)</f>
        <v>0</v>
      </c>
      <c r="M145" s="139"/>
      <c r="N145" s="138"/>
      <c r="O145" s="134"/>
      <c r="P145" s="106">
        <v>6</v>
      </c>
      <c r="Q145" s="115"/>
      <c r="R145" s="108" t="str">
        <f t="shared" si="191"/>
        <v/>
      </c>
      <c r="S145" s="78"/>
      <c r="T145" s="78"/>
      <c r="U145" s="109" t="str">
        <f t="shared" si="186"/>
        <v/>
      </c>
      <c r="V145" s="78"/>
      <c r="W145" s="78"/>
      <c r="X145" s="78"/>
      <c r="Y145" s="110" t="str">
        <f t="shared" si="192"/>
        <v/>
      </c>
      <c r="Z145" s="111" t="str">
        <f t="shared" si="187"/>
        <v/>
      </c>
      <c r="AA145" s="109" t="str">
        <f t="shared" si="188"/>
        <v/>
      </c>
      <c r="AB145" s="111" t="str">
        <f t="shared" si="189"/>
        <v/>
      </c>
      <c r="AC145" s="109" t="str">
        <f t="shared" si="193"/>
        <v/>
      </c>
      <c r="AD145" s="77" t="str">
        <f t="shared" si="190"/>
        <v/>
      </c>
      <c r="AE145" s="78"/>
      <c r="AF145" s="105"/>
      <c r="AG145" s="112"/>
      <c r="AH145" s="113"/>
      <c r="AI145" s="113"/>
      <c r="AJ145" s="105"/>
      <c r="AK145" s="114"/>
      <c r="AL145" s="170"/>
      <c r="AM145" s="136"/>
      <c r="AN145" s="134"/>
      <c r="AO145" s="393"/>
    </row>
    <row r="146" spans="2:41" ht="76.5" x14ac:dyDescent="0.2">
      <c r="B146" s="141" t="s">
        <v>418</v>
      </c>
      <c r="C146" s="142" t="s">
        <v>208</v>
      </c>
      <c r="D146" s="136" t="s">
        <v>419</v>
      </c>
      <c r="E146" s="142" t="s">
        <v>411</v>
      </c>
      <c r="F146" s="142" t="s">
        <v>420</v>
      </c>
      <c r="G146" s="136" t="s">
        <v>421</v>
      </c>
      <c r="H146" s="142" t="s">
        <v>61</v>
      </c>
      <c r="I146" s="139" t="str">
        <f>IF(H146&lt;=0,"",IF(H146="No se ha presentado en los últimos 5 años","Rara vez",IF(H146="Al menos 1 vez en los últimos 5 años","Improbable",IF(H146="Al menos 1 vez en los últimos 2 años","Posible",IF(H146="Al menos 1 vez en el último año","Probable",IF(H146="Más de 1 vez al año","Casi Seguro"))))))</f>
        <v>Rara vez</v>
      </c>
      <c r="J146" s="138">
        <f>IF(I146="","",IF(I146="Rara vez",0.2,IF(I146="Improbable",0.4,IF(I146="Posible",0.6,IF(I146="Probable",0.8,IF(I146="Casi Seguro",1,))))))</f>
        <v>0.2</v>
      </c>
      <c r="K146" s="137" t="s">
        <v>82</v>
      </c>
      <c r="L146" s="138" t="str">
        <f>IF(NOT(ISERROR(MATCH(K146,'[13]Tabla Impacto'!$B$220:$B$222,0))),'[13]Tabla Impacto'!$F$222&amp;"Por favor no seleccionar los criterios de impacto(Criterios para calificar el impacto)",K146)</f>
        <v xml:space="preserve">Responder afirmativamente de DOCE a DIECINUEVE </v>
      </c>
      <c r="M146" s="139" t="str">
        <f>IF(OR(L146='[13]Tabla Impacto'!$C$5),"Moderado",IF(OR(L146='[13]Tabla Impacto'!$C$6),"Mayor",IF(OR(L146='[13]Tabla Impacto'!$C$7),"Catastrófico","")))</f>
        <v>Catastrófico</v>
      </c>
      <c r="N146" s="138">
        <f>IF(M146="","",IF(M146="Leve",0.2,IF(M146="Menor",0.4,IF(M146="Moderado",0.6,IF(M146="Mayor",0.8,IF(M146="Catastrófico",1,))))))</f>
        <v>1</v>
      </c>
      <c r="O146" s="134" t="str">
        <f>IF(OR(AND(I146="Rara vez",M146="Leve"),AND(I146="Rara vez",M146="Menor"),AND(I146="Improbable",M146="Leve")),"Bajo",IF(OR(AND(I146="Rara vez",M146="Moderado"),AND(I146="Improbable",M146="Menor"),AND(I146="Improbable",M146="Moderado"),AND(I146="Posible",M146="Leve"),AND(I146="Posible",M146="Menor"),AND(I146="Posible",M146="Moderado"),AND(I146="Probable",M146="Leve"),AND(I146="Probable",M146="Menor")),"Moderado",IF(OR(AND(I146="Rara vez",M146="Mayor"),AND(I146="Improbable",M146="Mayor"),AND(I146="Posible",M146="Mayor"),AND(I146="Probable",M146="Moderado"),AND(I146="Probable",M146="Mayor"),AND(I146="Casi Seguro",M146="Leve"),AND(I146="Casi Seguro",M146="Menor"),AND(I146="Casi Seguro",M146="Moderado"),AND(I146="Casi Seguro",M146="Mayor")),"Alto",IF(OR(AND(I146="Rara vez",M146="Catastrófico"),AND(I146="Improbable",M146="Catastrófico"),AND(I146="Posible",M146="Catastrófico"),AND(I146="Probable",M146="Catastrófico"),AND(I146="Casi Seguro",M146="Catastrófico")),"Extremo",""))))</f>
        <v>Extremo</v>
      </c>
      <c r="P146" s="106">
        <v>1</v>
      </c>
      <c r="Q146" s="115" t="s">
        <v>422</v>
      </c>
      <c r="R146" s="108" t="str">
        <f>IF(OR(S146="Preventivo",S146="Detectivo"),"Probabilidad",IF(S146="Correctivo","Impacto",""))</f>
        <v>Probabilidad</v>
      </c>
      <c r="S146" s="78" t="s">
        <v>144</v>
      </c>
      <c r="T146" s="78" t="s">
        <v>152</v>
      </c>
      <c r="U146" s="109" t="str">
        <f t="shared" si="186"/>
        <v>40%</v>
      </c>
      <c r="V146" s="78" t="s">
        <v>155</v>
      </c>
      <c r="W146" s="78" t="s">
        <v>159</v>
      </c>
      <c r="X146" s="78" t="s">
        <v>163</v>
      </c>
      <c r="Y146" s="110">
        <f>IFERROR(IF(R146="Probabilidad",(J146-(+J146*U146)),IF(R146="Impacto",J146,"")),"")</f>
        <v>0.12</v>
      </c>
      <c r="Z146" s="111" t="str">
        <f>IFERROR(IF(Y146="","",IF(Y146&lt;=0.2,"Rara vez",IF(Y146&lt;=0.4,"Improbable",IF(Y146&lt;=0.6,"Posible",IF(Y146&lt;=0.8,"Probable","Casi Seguro"))))),"")</f>
        <v>Rara vez</v>
      </c>
      <c r="AA146" s="109">
        <f>+Y146</f>
        <v>0.12</v>
      </c>
      <c r="AB146" s="111" t="str">
        <f>IFERROR(IF(AC146="","",IF(AC146&lt;=0.6,"Moderado",IF(AC146&lt;=0.8,"Mayor","Catastrófico"))),"")</f>
        <v>Catastrófico</v>
      </c>
      <c r="AC146" s="109">
        <f>IFERROR(IF(R146="Impacto",(N146-(+N146*U146)),IF(R146="Probabilidad",N146,"")),"")</f>
        <v>1</v>
      </c>
      <c r="AD146" s="77" t="str">
        <f>IFERROR(IF(OR(AND(Z146="Rara vez",AB146="Leve"),AND(Z146="Rara vez",AB146="Menor"),AND(Z146="Improbable",AB146="Leve")),"Bajo",IF(OR(AND(Z146="Rara vez",AB146="Moderado"),AND(Z146="Improbable",AB146="Menor"),AND(Z146="Improbable",AB146="Moderado"),AND(Z146="Posible",AB146="Leve"),AND(Z146="Posible",AB146="Menor"),AND(Z146="Posible",AB146="Moderado"),AND(Z146="Probable",AB146="Leve"),AND(Z146="Probable",AB146="Menor")),"Moderado",IF(OR(AND(Z146="Rara vez",AB146="Mayor"),AND(Z146="Improbable",AB146="Mayor"),AND(Z146="Posible",AB146="Mayor"),AND(Z146="Probable",AB146="Moderado"),AND(Z146="Probable",AB146="Mayor"),AND(Z146="Casi Seguro",AB146="Leve"),AND(Z146="Casi Seguro",AB146="Menor"),AND(Z146="Casi Seguro",AB146="Moderado"),AND(Z146="Casi Seguro",AB146="Mayor")),"Alto",IF(OR(AND(Z146="Rara vez",AB146="Catastrófico"),AND(Z146="Improbable",AB146="Catastrófico"),AND(Z146="Posible",AB146="Catastrófico"),AND(Z146="Probable",AB146="Catastrófico"),AND(Z146="Casi Seguro",AB146="Catastrófico")),"Extremo","")))),"")</f>
        <v>Extremo</v>
      </c>
      <c r="AE146" s="78"/>
      <c r="AF146" s="105"/>
      <c r="AG146" s="112"/>
      <c r="AH146" s="113"/>
      <c r="AI146" s="113"/>
      <c r="AJ146" s="105"/>
      <c r="AK146" s="114"/>
      <c r="AL146" s="140" t="s">
        <v>423</v>
      </c>
      <c r="AM146" s="135" t="s">
        <v>222</v>
      </c>
      <c r="AN146" s="134" t="str">
        <f>+O146</f>
        <v>Extremo</v>
      </c>
      <c r="AO146" s="393" t="str">
        <f>+AD147</f>
        <v>Alto</v>
      </c>
    </row>
    <row r="147" spans="2:41" ht="87.75" x14ac:dyDescent="0.2">
      <c r="B147" s="141"/>
      <c r="C147" s="142"/>
      <c r="D147" s="136"/>
      <c r="E147" s="142"/>
      <c r="F147" s="142"/>
      <c r="G147" s="136"/>
      <c r="H147" s="142"/>
      <c r="I147" s="139"/>
      <c r="J147" s="138"/>
      <c r="K147" s="137"/>
      <c r="L147" s="138">
        <f>IF(NOT(ISERROR(MATCH(K147,_xlfn.ANCHORARRAY(G160),0))),J162&amp;"Por favor no seleccionar los criterios de impacto",K147)</f>
        <v>0</v>
      </c>
      <c r="M147" s="139"/>
      <c r="N147" s="138"/>
      <c r="O147" s="134"/>
      <c r="P147" s="106">
        <v>2</v>
      </c>
      <c r="Q147" s="115" t="s">
        <v>424</v>
      </c>
      <c r="R147" s="108" t="str">
        <f>IF(OR(S147="Preventivo",S147="Detectivo"),"Probabilidad",IF(S147="Correctivo","Impacto",""))</f>
        <v>Impacto</v>
      </c>
      <c r="S147" s="78" t="s">
        <v>148</v>
      </c>
      <c r="T147" s="78" t="s">
        <v>152</v>
      </c>
      <c r="U147" s="109" t="str">
        <f t="shared" si="186"/>
        <v>25%</v>
      </c>
      <c r="V147" s="78" t="s">
        <v>157</v>
      </c>
      <c r="W147" s="78" t="s">
        <v>159</v>
      </c>
      <c r="X147" s="78" t="s">
        <v>163</v>
      </c>
      <c r="Y147" s="110">
        <f>IFERROR(IF(AND(R146="Probabilidad",R147="Probabilidad"),(AA146-(+AA146*U147)),IF(R147="Probabilidad",(J146-(+J146*U147)),IF(R147="Impacto",AA146,""))),"")</f>
        <v>0.12</v>
      </c>
      <c r="Z147" s="111" t="str">
        <f t="shared" ref="Z147:Z183" si="194">IFERROR(IF(Y147="","",IF(Y147&lt;=0.2,"Rara vez",IF(Y147&lt;=0.4,"Improbable",IF(Y147&lt;=0.6,"Posible",IF(Y147&lt;=0.8,"Probable","Casi Seguro"))))),"")</f>
        <v>Rara vez</v>
      </c>
      <c r="AA147" s="109">
        <f t="shared" ref="AA147:AA151" si="195">+Y147</f>
        <v>0.12</v>
      </c>
      <c r="AB147" s="111" t="str">
        <f t="shared" ref="AB147:AB183" si="196">IFERROR(IF(AC147="","",IF(AC147&lt;=0.6,"Moderado",IF(AC147&lt;=0.8,"Mayor","Catastrófico"))),"")</f>
        <v>Mayor</v>
      </c>
      <c r="AC147" s="109">
        <f>IFERROR(IF(AND(R146="Impacto",R147="Impacto"),(AC146-(+AC146*U147)),IF(R147="Impacto",(N146-(+N146*U147)),IF(R147="Probabilidad",AC146,""))),"")</f>
        <v>0.75</v>
      </c>
      <c r="AD147" s="77" t="str">
        <f t="shared" ref="AD147:AD183" si="197">IFERROR(IF(OR(AND(Z147="Rara vez",AB147="Leve"),AND(Z147="Rara vez",AB147="Menor"),AND(Z147="Improbable",AB147="Leve")),"Bajo",IF(OR(AND(Z147="Rara vez",AB147="Moderado"),AND(Z147="Improbable",AB147="Menor"),AND(Z147="Improbable",AB147="Moderado"),AND(Z147="Posible",AB147="Leve"),AND(Z147="Posible",AB147="Menor"),AND(Z147="Posible",AB147="Moderado"),AND(Z147="Probable",AB147="Leve"),AND(Z147="Probable",AB147="Menor")),"Moderado",IF(OR(AND(Z147="Rara vez",AB147="Mayor"),AND(Z147="Improbable",AB147="Mayor"),AND(Z147="Posible",AB147="Mayor"),AND(Z147="Probable",AB147="Moderado"),AND(Z147="Probable",AB147="Mayor"),AND(Z147="Casi Seguro",AB147="Leve"),AND(Z147="Casi Seguro",AB147="Menor"),AND(Z147="Casi Seguro",AB147="Moderado"),AND(Z147="Casi Seguro",AB147="Mayor")),"Alto",IF(OR(AND(Z147="Rara vez",AB147="Catastrófico"),AND(Z147="Improbable",AB147="Catastrófico"),AND(Z147="Posible",AB147="Catastrófico"),AND(Z147="Probable",AB147="Catastrófico"),AND(Z147="Casi Seguro",AB147="Catastrófico")),"Extremo","")))),"")</f>
        <v>Alto</v>
      </c>
      <c r="AE147" s="78" t="s">
        <v>173</v>
      </c>
      <c r="AF147" s="105"/>
      <c r="AG147" s="112"/>
      <c r="AH147" s="113"/>
      <c r="AI147" s="113"/>
      <c r="AJ147" s="105"/>
      <c r="AK147" s="114"/>
      <c r="AL147" s="170"/>
      <c r="AM147" s="136"/>
      <c r="AN147" s="134"/>
      <c r="AO147" s="393"/>
    </row>
    <row r="148" spans="2:41" x14ac:dyDescent="0.2">
      <c r="B148" s="141"/>
      <c r="C148" s="142"/>
      <c r="D148" s="136"/>
      <c r="E148" s="142"/>
      <c r="F148" s="142"/>
      <c r="G148" s="136"/>
      <c r="H148" s="142"/>
      <c r="I148" s="139"/>
      <c r="J148" s="138"/>
      <c r="K148" s="137"/>
      <c r="L148" s="138">
        <f>IF(NOT(ISERROR(MATCH(K148,_xlfn.ANCHORARRAY(G161),0))),J163&amp;"Por favor no seleccionar los criterios de impacto",K148)</f>
        <v>0</v>
      </c>
      <c r="M148" s="139"/>
      <c r="N148" s="138"/>
      <c r="O148" s="134"/>
      <c r="P148" s="106">
        <v>3</v>
      </c>
      <c r="Q148" s="115"/>
      <c r="R148" s="108" t="str">
        <f>IF(OR(S148="Preventivo",S148="Detectivo"),"Probabilidad",IF(S148="Correctivo","Impacto",""))</f>
        <v/>
      </c>
      <c r="S148" s="78"/>
      <c r="T148" s="78"/>
      <c r="U148" s="109" t="str">
        <f>IF(AND(S148="Preventivo",T148="Automático"),"50%",IF(AND(S148="Preventivo",T148="Manual"),"40%",IF(AND(S148="Detectivo",T148="Automático"),"40%",IF(AND(S148="Detectivo",T148="Manual"),"30%",IF(AND(S148="Correctivo",T148="Automático"),"35%",IF(AND(S148="Correctivo",T148="Manual"),"25%",""))))))</f>
        <v/>
      </c>
      <c r="V148" s="78"/>
      <c r="W148" s="78"/>
      <c r="X148" s="78"/>
      <c r="Y148" s="110" t="str">
        <f>IFERROR(IF(AND(R147="Probabilidad",R148="Probabilidad"),(AA147-(+AA147*U148)),IF(AND(R147="Impacto",R148="Probabilidad"),(AA146-(+AA146*U148)),IF(R148="Impacto",AA147,""))),"")</f>
        <v/>
      </c>
      <c r="Z148" s="111" t="str">
        <f>IFERROR(IF(Y148="","",IF(Y148&lt;=0.2,"Rara vez",IF(Y148&lt;=0.4,"Improbable",IF(Y148&lt;=0.6,"Posible",IF(Y148&lt;=0.8,"Probable","Casi Seguro"))))),"")</f>
        <v/>
      </c>
      <c r="AA148" s="109" t="str">
        <f>+Y148</f>
        <v/>
      </c>
      <c r="AB148" s="111" t="str">
        <f>IFERROR(IF(AC148="","",IF(AC148&lt;=0.6,"Moderado",IF(AC148&lt;=0.8,"Mayor","Catastrófico"))),"")</f>
        <v/>
      </c>
      <c r="AC148" s="109" t="str">
        <f t="shared" ref="AC148:AC151" si="198">IFERROR(IF(AND(R147="Impacto",R148="Impacto"),(AC147-(+AC147*U148)),IF(R148="Impacto",(N147-(+N147*U148)),IF(R148="Probabilidad",AC147,""))),"")</f>
        <v/>
      </c>
      <c r="AD148" s="77" t="str">
        <f>IFERROR(IF(OR(AND(Z148="Rara vez",AB148="Leve"),AND(Z148="Rara vez",AB148="Menor"),AND(Z148="Improbable",AB148="Leve")),"Bajo",IF(OR(AND(Z148="Rara vez",AB148="Moderado"),AND(Z148="Improbable",AB148="Menor"),AND(Z148="Improbable",AB148="Moderado"),AND(Z148="Posible",AB148="Leve"),AND(Z148="Posible",AB148="Menor"),AND(Z148="Posible",AB148="Moderado"),AND(Z148="Probable",AB148="Leve"),AND(Z148="Probable",AB148="Menor")),"Moderado",IF(OR(AND(Z148="Rara vez",AB148="Mayor"),AND(Z148="Improbable",AB148="Mayor"),AND(Z148="Posible",AB148="Mayor"),AND(Z148="Probable",AB148="Moderado"),AND(Z148="Probable",AB148="Mayor"),AND(Z148="Casi Seguro",AB148="Leve"),AND(Z148="Casi Seguro",AB148="Menor"),AND(Z148="Casi Seguro",AB148="Moderado"),AND(Z148="Casi Seguro",AB148="Mayor")),"Alto",IF(OR(AND(Z148="Rara vez",AB148="Catastrófico"),AND(Z148="Improbable",AB148="Catastrófico"),AND(Z148="Posible",AB148="Catastrófico"),AND(Z148="Probable",AB148="Catastrófico"),AND(Z148="Casi Seguro",AB148="Catastrófico")),"Extremo","")))),"")</f>
        <v/>
      </c>
      <c r="AE148" s="78"/>
      <c r="AF148" s="105"/>
      <c r="AG148" s="112"/>
      <c r="AH148" s="113"/>
      <c r="AI148" s="113"/>
      <c r="AJ148" s="105"/>
      <c r="AK148" s="114"/>
      <c r="AL148" s="170"/>
      <c r="AM148" s="136"/>
      <c r="AN148" s="134"/>
      <c r="AO148" s="393"/>
    </row>
    <row r="149" spans="2:41" x14ac:dyDescent="0.2">
      <c r="B149" s="141"/>
      <c r="C149" s="142"/>
      <c r="D149" s="136"/>
      <c r="E149" s="142"/>
      <c r="F149" s="142"/>
      <c r="G149" s="136"/>
      <c r="H149" s="142"/>
      <c r="I149" s="139"/>
      <c r="J149" s="138"/>
      <c r="K149" s="137"/>
      <c r="L149" s="138">
        <f>IF(NOT(ISERROR(MATCH(K149,_xlfn.ANCHORARRAY(G162),0))),J164&amp;"Por favor no seleccionar los criterios de impacto",K149)</f>
        <v>0</v>
      </c>
      <c r="M149" s="139"/>
      <c r="N149" s="138"/>
      <c r="O149" s="134"/>
      <c r="P149" s="106">
        <v>4</v>
      </c>
      <c r="Q149" s="115"/>
      <c r="R149" s="108" t="str">
        <f>IF(OR(S149="Preventivo",S149="Detectivo"),"Probabilidad",IF(S149="Correctivo","Impacto",""))</f>
        <v/>
      </c>
      <c r="S149" s="78"/>
      <c r="T149" s="78"/>
      <c r="U149" s="109" t="str">
        <f t="shared" ref="U149" si="199">IF(AND(S149="Preventivo",T149="Automático"),"50%",IF(AND(S149="Preventivo",T149="Manual"),"40%",IF(AND(S149="Detectivo",T149="Automático"),"40%",IF(AND(S149="Detectivo",T149="Manual"),"30%",IF(AND(S149="Correctivo",T149="Automático"),"35%",IF(AND(S149="Correctivo",T149="Manual"),"25%",""))))))</f>
        <v/>
      </c>
      <c r="V149" s="78"/>
      <c r="W149" s="78"/>
      <c r="X149" s="78"/>
      <c r="Y149" s="110" t="str">
        <f t="shared" ref="Y149:Y151" si="200">IFERROR(IF(AND(R148="Probabilidad",R149="Probabilidad"),(AA148-(+AA148*U149)),IF(AND(R148="Impacto",R149="Probabilidad"),(AA147-(+AA147*U149)),IF(R149="Impacto",AA148,""))),"")</f>
        <v/>
      </c>
      <c r="Z149" s="111" t="str">
        <f t="shared" ref="Z149" si="201">IFERROR(IF(Y149="","",IF(Y149&lt;=0.2,"Rara vez",IF(Y149&lt;=0.4,"Improbable",IF(Y149&lt;=0.6,"Posible",IF(Y149&lt;=0.8,"Probable","Casi Seguro"))))),"")</f>
        <v/>
      </c>
      <c r="AA149" s="109" t="str">
        <f t="shared" ref="AA149" si="202">+Y149</f>
        <v/>
      </c>
      <c r="AB149" s="111" t="str">
        <f>IFERROR(IF(AC149="","",IF(AC149&lt;=0.6,"Moderado",IF(AC149&lt;=0.8,"Mayor","Catastrófico"))),"")</f>
        <v/>
      </c>
      <c r="AC149" s="109" t="str">
        <f t="shared" si="198"/>
        <v/>
      </c>
      <c r="AD149" s="77" t="str">
        <f t="shared" ref="AD149" si="203">IFERROR(IF(OR(AND(Z149="Rara vez",AB149="Leve"),AND(Z149="Rara vez",AB149="Menor"),AND(Z149="Improbable",AB149="Leve")),"Bajo",IF(OR(AND(Z149="Rara vez",AB149="Moderado"),AND(Z149="Improbable",AB149="Menor"),AND(Z149="Improbable",AB149="Moderado"),AND(Z149="Posible",AB149="Leve"),AND(Z149="Posible",AB149="Menor"),AND(Z149="Posible",AB149="Moderado"),AND(Z149="Probable",AB149="Leve"),AND(Z149="Probable",AB149="Menor")),"Moderado",IF(OR(AND(Z149="Rara vez",AB149="Mayor"),AND(Z149="Improbable",AB149="Mayor"),AND(Z149="Posible",AB149="Mayor"),AND(Z149="Probable",AB149="Moderado"),AND(Z149="Probable",AB149="Mayor"),AND(Z149="Casi Seguro",AB149="Leve"),AND(Z149="Casi Seguro",AB149="Menor"),AND(Z149="Casi Seguro",AB149="Moderado"),AND(Z149="Casi Seguro",AB149="Mayor")),"Alto",IF(OR(AND(Z149="Rara vez",AB149="Catastrófico"),AND(Z149="Improbable",AB149="Catastrófico"),AND(Z149="Posible",AB149="Catastrófico"),AND(Z149="Probable",AB149="Catastrófico"),AND(Z149="Casi Seguro",AB149="Catastrófico")),"Extremo","")))),"")</f>
        <v/>
      </c>
      <c r="AE149" s="78"/>
      <c r="AF149" s="105"/>
      <c r="AG149" s="112"/>
      <c r="AH149" s="113"/>
      <c r="AI149" s="113"/>
      <c r="AJ149" s="105"/>
      <c r="AK149" s="114"/>
      <c r="AL149" s="170"/>
      <c r="AM149" s="136"/>
      <c r="AN149" s="134"/>
      <c r="AO149" s="393"/>
    </row>
    <row r="150" spans="2:41" x14ac:dyDescent="0.2">
      <c r="B150" s="141"/>
      <c r="C150" s="142"/>
      <c r="D150" s="136"/>
      <c r="E150" s="142"/>
      <c r="F150" s="142"/>
      <c r="G150" s="136"/>
      <c r="H150" s="142"/>
      <c r="I150" s="139"/>
      <c r="J150" s="138"/>
      <c r="K150" s="137"/>
      <c r="L150" s="138">
        <f>IF(NOT(ISERROR(MATCH(K150,_xlfn.ANCHORARRAY(G163),0))),J165&amp;"Por favor no seleccionar los criterios de impacto",K150)</f>
        <v>0</v>
      </c>
      <c r="M150" s="139"/>
      <c r="N150" s="138"/>
      <c r="O150" s="134"/>
      <c r="P150" s="106">
        <v>5</v>
      </c>
      <c r="Q150" s="115"/>
      <c r="R150" s="108" t="str">
        <f t="shared" ref="R150:R151" si="204">IF(OR(S150="Preventivo",S150="Detectivo"),"Probabilidad",IF(S150="Correctivo","Impacto",""))</f>
        <v/>
      </c>
      <c r="S150" s="78"/>
      <c r="T150" s="78"/>
      <c r="U150" s="109" t="str">
        <f t="shared" si="186"/>
        <v/>
      </c>
      <c r="V150" s="78"/>
      <c r="W150" s="78"/>
      <c r="X150" s="78"/>
      <c r="Y150" s="110" t="str">
        <f t="shared" si="200"/>
        <v/>
      </c>
      <c r="Z150" s="111" t="str">
        <f t="shared" si="194"/>
        <v/>
      </c>
      <c r="AA150" s="109" t="str">
        <f t="shared" si="195"/>
        <v/>
      </c>
      <c r="AB150" s="111" t="str">
        <f t="shared" si="196"/>
        <v/>
      </c>
      <c r="AC150" s="109" t="str">
        <f t="shared" si="198"/>
        <v/>
      </c>
      <c r="AD150" s="77" t="str">
        <f t="shared" si="197"/>
        <v/>
      </c>
      <c r="AE150" s="78"/>
      <c r="AF150" s="105"/>
      <c r="AG150" s="112"/>
      <c r="AH150" s="113"/>
      <c r="AI150" s="113"/>
      <c r="AJ150" s="105"/>
      <c r="AK150" s="114"/>
      <c r="AL150" s="170"/>
      <c r="AM150" s="136"/>
      <c r="AN150" s="134"/>
      <c r="AO150" s="393"/>
    </row>
    <row r="151" spans="2:41" x14ac:dyDescent="0.2">
      <c r="B151" s="141"/>
      <c r="C151" s="142"/>
      <c r="D151" s="136"/>
      <c r="E151" s="142"/>
      <c r="F151" s="142"/>
      <c r="G151" s="136"/>
      <c r="H151" s="142"/>
      <c r="I151" s="139"/>
      <c r="J151" s="138"/>
      <c r="K151" s="137"/>
      <c r="L151" s="138">
        <f>IF(NOT(ISERROR(MATCH(K151,_xlfn.ANCHORARRAY(G164),0))),J166&amp;"Por favor no seleccionar los criterios de impacto",K151)</f>
        <v>0</v>
      </c>
      <c r="M151" s="139"/>
      <c r="N151" s="138"/>
      <c r="O151" s="134"/>
      <c r="P151" s="106">
        <v>6</v>
      </c>
      <c r="Q151" s="115"/>
      <c r="R151" s="108" t="str">
        <f t="shared" si="204"/>
        <v/>
      </c>
      <c r="S151" s="78"/>
      <c r="T151" s="78"/>
      <c r="U151" s="109" t="str">
        <f t="shared" si="186"/>
        <v/>
      </c>
      <c r="V151" s="78"/>
      <c r="W151" s="78"/>
      <c r="X151" s="78"/>
      <c r="Y151" s="110" t="str">
        <f t="shared" si="200"/>
        <v/>
      </c>
      <c r="Z151" s="111" t="str">
        <f t="shared" si="194"/>
        <v/>
      </c>
      <c r="AA151" s="109" t="str">
        <f t="shared" si="195"/>
        <v/>
      </c>
      <c r="AB151" s="111" t="str">
        <f t="shared" si="196"/>
        <v/>
      </c>
      <c r="AC151" s="109" t="str">
        <f t="shared" si="198"/>
        <v/>
      </c>
      <c r="AD151" s="77" t="str">
        <f t="shared" si="197"/>
        <v/>
      </c>
      <c r="AE151" s="78"/>
      <c r="AF151" s="105"/>
      <c r="AG151" s="112"/>
      <c r="AH151" s="113"/>
      <c r="AI151" s="113"/>
      <c r="AJ151" s="105"/>
      <c r="AK151" s="114"/>
      <c r="AL151" s="170"/>
      <c r="AM151" s="136"/>
      <c r="AN151" s="134"/>
      <c r="AO151" s="393"/>
    </row>
    <row r="152" spans="2:41" ht="114.75" customHeight="1" x14ac:dyDescent="0.2">
      <c r="B152" s="149" t="s">
        <v>425</v>
      </c>
      <c r="C152" s="143" t="s">
        <v>426</v>
      </c>
      <c r="D152" s="146" t="s">
        <v>427</v>
      </c>
      <c r="E152" s="143" t="s">
        <v>231</v>
      </c>
      <c r="F152" s="143" t="s">
        <v>428</v>
      </c>
      <c r="G152" s="146" t="s">
        <v>429</v>
      </c>
      <c r="H152" s="143" t="s">
        <v>61</v>
      </c>
      <c r="I152" s="164" t="str">
        <f t="shared" ref="I152" si="205">IF(H152&lt;=0,"",IF(H152="No se ha presentado en los últimos 5 años","Rara vez",IF(H152="Al menos 1 vez en los últimos 5 años","Improbable",IF(H152="Al menos 1 vez en los últimos 2 años","Posible",IF(H152="Al menos 1 vez en el último año","Probable",IF(H152="Más de 1 vez al año","Casi Seguro"))))))</f>
        <v>Rara vez</v>
      </c>
      <c r="J152" s="161">
        <f t="shared" ref="J152" si="206">IF(I152="","",IF(I152="Rara vez",0.2,IF(I152="Improbable",0.4,IF(I152="Posible",0.6,IF(I152="Probable",0.8,IF(I152="Casi Seguro",1,))))))</f>
        <v>0.2</v>
      </c>
      <c r="K152" s="167" t="s">
        <v>82</v>
      </c>
      <c r="L152" s="138" t="str">
        <f>IF(NOT(ISERROR(MATCH(K152,'[14]Tabla Impacto'!$B$220:$B$222,0))),'[14]Tabla Impacto'!$F$222&amp;"Por favor no seleccionar los criterios de impacto(Afectación Económica o presupuestal y Pérdida Reputacional)",K152)</f>
        <v xml:space="preserve">Responder afirmativamente de DOCE a DIECINUEVE </v>
      </c>
      <c r="M152" s="164" t="str">
        <f>IF(OR(L152='[14]Tabla Impacto'!$C$5),"Moderado",IF(OR(L152='[14]Tabla Impacto'!$C$6),"Mayor",IF(OR(L152='[14]Tabla Impacto'!$C$7),"Catastrófico","")))</f>
        <v>Catastrófico</v>
      </c>
      <c r="N152" s="161">
        <f>IF(M152="","",IF(M152="Leve",0.2,IF(M152="Menor",0.4,IF(M152="Moderado",0.6,IF(M152="Mayor",0.8,IF(M152="Catastrófico",1,))))))</f>
        <v>1</v>
      </c>
      <c r="O152" s="152" t="str">
        <f t="shared" ref="O152" si="207">IF(OR(AND(I152="Rara vez",M152="Leve"),AND(I152="Rara vez",M152="Menor"),AND(I152="Improbable",M152="Leve")),"Bajo",IF(OR(AND(I152="Rara vez",M152="Moderado"),AND(I152="Improbable",M152="Menor"),AND(I152="Improbable",M152="Moderado"),AND(I152="Posible",M152="Leve"),AND(I152="Posible",M152="Menor"),AND(I152="Posible",M152="Moderado"),AND(I152="Probable",M152="Leve"),AND(I152="Probable",M152="Menor")),"Moderado",IF(OR(AND(I152="Rara vez",M152="Mayor"),AND(I152="Improbable",M152="Mayor"),AND(I152="Posible",M152="Mayor"),AND(I152="Probable",M152="Moderado"),AND(I152="Probable",M152="Mayor"),AND(I152="Casi Seguro",M152="Leve"),AND(I152="Casi Seguro",M152="Menor"),AND(I152="Casi Seguro",M152="Moderado"),AND(I152="Casi Seguro",M152="Mayor")),"Alto",IF(OR(AND(I152="Rara vez",M152="Catastrófico"),AND(I152="Improbable",M152="Catastrófico"),AND(I152="Posible",M152="Catastrófico"),AND(I152="Probable",M152="Catastrófico"),AND(I152="Casi Seguro",M152="Catastrófico")),"Extremo",""))))</f>
        <v>Extremo</v>
      </c>
      <c r="P152" s="106">
        <v>1</v>
      </c>
      <c r="Q152" s="115" t="s">
        <v>430</v>
      </c>
      <c r="R152" s="108" t="str">
        <f>IF(OR(S152="Preventivo",S152="Detectivo"),"Probabilidad",IF(S152="Correctivo","Impacto",""))</f>
        <v>Probabilidad</v>
      </c>
      <c r="S152" s="78" t="s">
        <v>146</v>
      </c>
      <c r="T152" s="78" t="s">
        <v>152</v>
      </c>
      <c r="U152" s="109" t="str">
        <f t="shared" si="186"/>
        <v>30%</v>
      </c>
      <c r="V152" s="78" t="s">
        <v>155</v>
      </c>
      <c r="W152" s="78" t="s">
        <v>159</v>
      </c>
      <c r="X152" s="78" t="s">
        <v>163</v>
      </c>
      <c r="Y152" s="110">
        <f>IFERROR(IF(R152="Probabilidad",(J152-(+J152*U152)),IF(R152="Impacto",J152,"")),"")</f>
        <v>0.14000000000000001</v>
      </c>
      <c r="Z152" s="111" t="str">
        <f t="shared" si="194"/>
        <v>Rara vez</v>
      </c>
      <c r="AA152" s="109">
        <f>+Y152</f>
        <v>0.14000000000000001</v>
      </c>
      <c r="AB152" s="111" t="str">
        <f t="shared" si="196"/>
        <v>Catastrófico</v>
      </c>
      <c r="AC152" s="109">
        <f>IFERROR(IF(R152="Impacto",(N152-(+N152*U152)),IF(R152="Probabilidad",N152,"")),"")</f>
        <v>1</v>
      </c>
      <c r="AD152" s="77" t="str">
        <f t="shared" si="197"/>
        <v>Extremo</v>
      </c>
      <c r="AE152" s="78"/>
      <c r="AF152" s="105"/>
      <c r="AG152" s="112"/>
      <c r="AH152" s="113"/>
      <c r="AI152" s="113"/>
      <c r="AJ152" s="105"/>
      <c r="AK152" s="114"/>
      <c r="AL152" s="158" t="s">
        <v>423</v>
      </c>
      <c r="AM152" s="155" t="s">
        <v>222</v>
      </c>
      <c r="AN152" s="152" t="str">
        <f>+O152</f>
        <v>Extremo</v>
      </c>
      <c r="AO152" s="394" t="str">
        <f>+AD159</f>
        <v>Moderado</v>
      </c>
    </row>
    <row r="153" spans="2:41" ht="75" x14ac:dyDescent="0.2">
      <c r="B153" s="150"/>
      <c r="C153" s="144"/>
      <c r="D153" s="147"/>
      <c r="E153" s="144"/>
      <c r="F153" s="144"/>
      <c r="G153" s="147"/>
      <c r="H153" s="144"/>
      <c r="I153" s="165"/>
      <c r="J153" s="162"/>
      <c r="K153" s="168"/>
      <c r="L153" s="138">
        <f>IF(NOT(ISERROR(MATCH(K153,_xlfn.ANCHORARRAY(G166),0))),J168&amp;"Por favor no seleccionar los criterios de impacto",K153)</f>
        <v>0</v>
      </c>
      <c r="M153" s="165"/>
      <c r="N153" s="162"/>
      <c r="O153" s="153"/>
      <c r="P153" s="106">
        <v>2</v>
      </c>
      <c r="Q153" s="115" t="s">
        <v>431</v>
      </c>
      <c r="R153" s="108" t="str">
        <f>IF(OR(S153="Preventivo",S153="Detectivo"),"Probabilidad",IF(S153="Correctivo","Impacto",""))</f>
        <v>Impacto</v>
      </c>
      <c r="S153" s="78" t="s">
        <v>148</v>
      </c>
      <c r="T153" s="78" t="s">
        <v>152</v>
      </c>
      <c r="U153" s="109" t="str">
        <f t="shared" si="186"/>
        <v>25%</v>
      </c>
      <c r="V153" s="78" t="s">
        <v>155</v>
      </c>
      <c r="W153" s="78" t="s">
        <v>159</v>
      </c>
      <c r="X153" s="78" t="s">
        <v>163</v>
      </c>
      <c r="Y153" s="110">
        <f>IFERROR(IF(AND(R152="Probabilidad",R153="Probabilidad"),(AA152-(+AA152*U153)),IF(R153="Probabilidad",(J152-(+J152*U153)),IF(R153="Impacto",AA152,""))),"")</f>
        <v>0.14000000000000001</v>
      </c>
      <c r="Z153" s="111" t="str">
        <f t="shared" si="194"/>
        <v>Rara vez</v>
      </c>
      <c r="AA153" s="109">
        <f t="shared" ref="AA153:AA154" si="208">+Y153</f>
        <v>0.14000000000000001</v>
      </c>
      <c r="AB153" s="111" t="str">
        <f t="shared" si="196"/>
        <v>Mayor</v>
      </c>
      <c r="AC153" s="109">
        <f>IFERROR(IF(AND(R152="Impacto",R153="Impacto"),(AC152-(+AC152*U153)),IF(R153="Impacto",(N152-(+N152*U153)),IF(R153="Probabilidad",AC152,""))),"")</f>
        <v>0.75</v>
      </c>
      <c r="AD153" s="77" t="str">
        <f t="shared" si="197"/>
        <v>Alto</v>
      </c>
      <c r="AE153" s="78"/>
      <c r="AF153" s="105"/>
      <c r="AG153" s="112"/>
      <c r="AH153" s="113"/>
      <c r="AI153" s="113"/>
      <c r="AJ153" s="105"/>
      <c r="AK153" s="114"/>
      <c r="AL153" s="159"/>
      <c r="AM153" s="156"/>
      <c r="AN153" s="153"/>
      <c r="AO153" s="395"/>
    </row>
    <row r="154" spans="2:41" ht="76.5" x14ac:dyDescent="0.2">
      <c r="B154" s="150"/>
      <c r="C154" s="144"/>
      <c r="D154" s="147"/>
      <c r="E154" s="144"/>
      <c r="F154" s="144"/>
      <c r="G154" s="147"/>
      <c r="H154" s="144"/>
      <c r="I154" s="165"/>
      <c r="J154" s="162"/>
      <c r="K154" s="168"/>
      <c r="L154" s="138">
        <f>IF(NOT(ISERROR(MATCH(K154,_xlfn.ANCHORARRAY(G167),0))),J169&amp;"Por favor no seleccionar los criterios de impacto",K154)</f>
        <v>0</v>
      </c>
      <c r="M154" s="165"/>
      <c r="N154" s="162"/>
      <c r="O154" s="153"/>
      <c r="P154" s="106">
        <v>3</v>
      </c>
      <c r="Q154" s="115" t="s">
        <v>486</v>
      </c>
      <c r="R154" s="108" t="str">
        <f>IF(OR(S154="Preventivo",S154="Detectivo"),"Probabilidad",IF(S154="Correctivo","Impacto",""))</f>
        <v>Probabilidad</v>
      </c>
      <c r="S154" s="78" t="s">
        <v>146</v>
      </c>
      <c r="T154" s="78" t="s">
        <v>152</v>
      </c>
      <c r="U154" s="109" t="str">
        <f t="shared" si="186"/>
        <v>30%</v>
      </c>
      <c r="V154" s="78" t="s">
        <v>155</v>
      </c>
      <c r="W154" s="78" t="s">
        <v>159</v>
      </c>
      <c r="X154" s="78" t="s">
        <v>163</v>
      </c>
      <c r="Y154" s="110">
        <f>IFERROR(IF(AND(R153="Probabilidad",R154="Probabilidad"),(AA153-(+AA153*U154)),IF(AND(R153="Impacto",R154="Probabilidad"),(AA152-(+AA152*U154)),IF(R154="Impacto",AA153,""))),"")</f>
        <v>9.8000000000000004E-2</v>
      </c>
      <c r="Z154" s="111" t="str">
        <f t="shared" si="194"/>
        <v>Rara vez</v>
      </c>
      <c r="AA154" s="109">
        <f t="shared" si="208"/>
        <v>9.8000000000000004E-2</v>
      </c>
      <c r="AB154" s="111" t="str">
        <f t="shared" si="196"/>
        <v>Mayor</v>
      </c>
      <c r="AC154" s="109">
        <f>IFERROR(IF(AND(R153="Impacto",R154="Impacto"),(AC153-(+AC153*U154)),IF(AND(R153="Probabilidad",R154="Impacto"),(AC152-(+AC152*U154)),IF(R154="Probabilidad",AC153,""))),"")</f>
        <v>0.75</v>
      </c>
      <c r="AD154" s="77" t="str">
        <f t="shared" si="197"/>
        <v>Alto</v>
      </c>
      <c r="AE154" s="78"/>
      <c r="AF154" s="105"/>
      <c r="AG154" s="112"/>
      <c r="AH154" s="113"/>
      <c r="AI154" s="113"/>
      <c r="AJ154" s="105"/>
      <c r="AK154" s="114"/>
      <c r="AL154" s="159"/>
      <c r="AM154" s="156"/>
      <c r="AN154" s="153"/>
      <c r="AO154" s="395"/>
    </row>
    <row r="155" spans="2:41" ht="127.5" x14ac:dyDescent="0.2">
      <c r="B155" s="150"/>
      <c r="C155" s="144"/>
      <c r="D155" s="147"/>
      <c r="E155" s="144"/>
      <c r="F155" s="144"/>
      <c r="G155" s="147"/>
      <c r="H155" s="144"/>
      <c r="I155" s="165"/>
      <c r="J155" s="162"/>
      <c r="K155" s="168"/>
      <c r="L155" s="138">
        <f>IF(NOT(ISERROR(MATCH(K155,_xlfn.ANCHORARRAY(G168),0))),J170&amp;"Por favor no seleccionar los criterios de impacto",K155)</f>
        <v>0</v>
      </c>
      <c r="M155" s="165"/>
      <c r="N155" s="162"/>
      <c r="O155" s="153"/>
      <c r="P155" s="106">
        <v>4</v>
      </c>
      <c r="Q155" s="115" t="s">
        <v>432</v>
      </c>
      <c r="R155" s="108" t="str">
        <f>IF(OR(S155="Preventivo",S155="Detectivo"),"Probabilidad",IF(S155="Correctivo","Impacto",""))</f>
        <v>Probabilidad</v>
      </c>
      <c r="S155" s="78" t="s">
        <v>144</v>
      </c>
      <c r="T155" s="78" t="s">
        <v>152</v>
      </c>
      <c r="U155" s="109" t="str">
        <f>IF(AND(S155="Preventivo",T155="Automático"),"50%",IF(AND(S155="Preventivo",T155="Manual"),"40%",IF(AND(S155="Detectivo",T155="Automático"),"40%",IF(AND(S155="Detectivo",T155="Manual"),"30%",IF(AND(S155="Correctivo",T155="Automático"),"35%",IF(AND(S155="Correctivo",T155="Manual"),"25%",""))))))</f>
        <v>40%</v>
      </c>
      <c r="V155" s="78" t="s">
        <v>155</v>
      </c>
      <c r="W155" s="78" t="s">
        <v>159</v>
      </c>
      <c r="X155" s="78" t="s">
        <v>163</v>
      </c>
      <c r="Y155" s="110">
        <f t="shared" ref="Y155:Y159" si="209">IFERROR(IF(AND(R154="Probabilidad",R155="Probabilidad"),(AA154-(+AA154*U155)),IF(AND(R154="Impacto",R155="Probabilidad"),(AA153-(+AA153*U155)),IF(R155="Impacto",AA154,""))),"")</f>
        <v>5.8799999999999998E-2</v>
      </c>
      <c r="Z155" s="111" t="str">
        <f t="shared" si="194"/>
        <v>Rara vez</v>
      </c>
      <c r="AA155" s="109">
        <f>+Y155</f>
        <v>5.8799999999999998E-2</v>
      </c>
      <c r="AB155" s="111" t="str">
        <f t="shared" si="196"/>
        <v>Mayor</v>
      </c>
      <c r="AC155" s="109">
        <f t="shared" ref="AC155:AC159" si="210">IFERROR(IF(AND(R154="Impacto",R155="Impacto"),(AC154-(+AC154*U155)),IF(AND(R154="Probabilidad",R155="Impacto"),(AC153-(+AC153*U155)),IF(R155="Probabilidad",AC154,""))),"")</f>
        <v>0.75</v>
      </c>
      <c r="AD155" s="77" t="str">
        <f t="shared" si="197"/>
        <v>Alto</v>
      </c>
      <c r="AE155" s="78"/>
      <c r="AF155" s="105"/>
      <c r="AG155" s="112"/>
      <c r="AH155" s="113"/>
      <c r="AI155" s="113"/>
      <c r="AJ155" s="105"/>
      <c r="AK155" s="114"/>
      <c r="AL155" s="159"/>
      <c r="AM155" s="156"/>
      <c r="AN155" s="153"/>
      <c r="AO155" s="395"/>
    </row>
    <row r="156" spans="2:41" ht="114.75" customHeight="1" x14ac:dyDescent="0.2">
      <c r="B156" s="150"/>
      <c r="C156" s="144"/>
      <c r="D156" s="147"/>
      <c r="E156" s="144"/>
      <c r="F156" s="144"/>
      <c r="G156" s="147"/>
      <c r="H156" s="144"/>
      <c r="I156" s="165"/>
      <c r="J156" s="162"/>
      <c r="K156" s="168"/>
      <c r="L156" s="138">
        <f>IF(NOT(ISERROR(MATCH(K156,_xlfn.ANCHORARRAY(G169),0))),J171&amp;"Por favor no seleccionar los criterios de impacto",K156)</f>
        <v>0</v>
      </c>
      <c r="M156" s="165"/>
      <c r="N156" s="162"/>
      <c r="O156" s="153"/>
      <c r="P156" s="106">
        <v>5</v>
      </c>
      <c r="Q156" s="115" t="s">
        <v>430</v>
      </c>
      <c r="R156" s="108" t="str">
        <f t="shared" ref="R156:R159" si="211">IF(OR(S156="Preventivo",S156="Detectivo"),"Probabilidad",IF(S156="Correctivo","Impacto",""))</f>
        <v>Probabilidad</v>
      </c>
      <c r="S156" s="78" t="s">
        <v>146</v>
      </c>
      <c r="T156" s="78" t="s">
        <v>152</v>
      </c>
      <c r="U156" s="109" t="str">
        <f t="shared" ref="U156:U159" si="212">IF(AND(S156="Preventivo",T156="Automático"),"50%",IF(AND(S156="Preventivo",T156="Manual"),"40%",IF(AND(S156="Detectivo",T156="Automático"),"40%",IF(AND(S156="Detectivo",T156="Manual"),"30%",IF(AND(S156="Correctivo",T156="Automático"),"35%",IF(AND(S156="Correctivo",T156="Manual"),"25%",""))))))</f>
        <v>30%</v>
      </c>
      <c r="V156" s="78" t="s">
        <v>155</v>
      </c>
      <c r="W156" s="78" t="s">
        <v>159</v>
      </c>
      <c r="X156" s="78" t="s">
        <v>163</v>
      </c>
      <c r="Y156" s="110">
        <f t="shared" si="209"/>
        <v>4.1160000000000002E-2</v>
      </c>
      <c r="Z156" s="111" t="str">
        <f t="shared" si="194"/>
        <v>Rara vez</v>
      </c>
      <c r="AA156" s="109">
        <f t="shared" ref="AA156:AA159" si="213">+Y156</f>
        <v>4.1160000000000002E-2</v>
      </c>
      <c r="AB156" s="111" t="str">
        <f t="shared" si="196"/>
        <v>Mayor</v>
      </c>
      <c r="AC156" s="109">
        <f t="shared" si="210"/>
        <v>0.75</v>
      </c>
      <c r="AD156" s="77" t="str">
        <f t="shared" si="197"/>
        <v>Alto</v>
      </c>
      <c r="AE156" s="78"/>
      <c r="AF156" s="105"/>
      <c r="AG156" s="112"/>
      <c r="AH156" s="113"/>
      <c r="AI156" s="113"/>
      <c r="AJ156" s="105"/>
      <c r="AK156" s="114"/>
      <c r="AL156" s="159"/>
      <c r="AM156" s="156"/>
      <c r="AN156" s="153"/>
      <c r="AO156" s="395"/>
    </row>
    <row r="157" spans="2:41" ht="75" x14ac:dyDescent="0.2">
      <c r="B157" s="150"/>
      <c r="C157" s="144"/>
      <c r="D157" s="147"/>
      <c r="E157" s="144"/>
      <c r="F157" s="144"/>
      <c r="G157" s="147"/>
      <c r="H157" s="144"/>
      <c r="I157" s="165"/>
      <c r="J157" s="162"/>
      <c r="K157" s="168"/>
      <c r="L157" s="138">
        <f>IF(NOT(ISERROR(MATCH(K157,_xlfn.ANCHORARRAY(G170),0))),J184&amp;"Por favor no seleccionar los criterios de impacto",K157)</f>
        <v>0</v>
      </c>
      <c r="M157" s="165"/>
      <c r="N157" s="162"/>
      <c r="O157" s="153"/>
      <c r="P157" s="106">
        <v>6</v>
      </c>
      <c r="Q157" s="115" t="s">
        <v>433</v>
      </c>
      <c r="R157" s="108" t="str">
        <f t="shared" si="211"/>
        <v>Impacto</v>
      </c>
      <c r="S157" s="78" t="s">
        <v>148</v>
      </c>
      <c r="T157" s="78" t="s">
        <v>152</v>
      </c>
      <c r="U157" s="109" t="str">
        <f t="shared" si="212"/>
        <v>25%</v>
      </c>
      <c r="V157" s="78" t="s">
        <v>155</v>
      </c>
      <c r="W157" s="78" t="s">
        <v>159</v>
      </c>
      <c r="X157" s="78" t="s">
        <v>163</v>
      </c>
      <c r="Y157" s="110">
        <f t="shared" si="209"/>
        <v>4.1160000000000002E-2</v>
      </c>
      <c r="Z157" s="111" t="str">
        <f t="shared" si="194"/>
        <v>Rara vez</v>
      </c>
      <c r="AA157" s="109">
        <f t="shared" si="213"/>
        <v>4.1160000000000002E-2</v>
      </c>
      <c r="AB157" s="111" t="str">
        <f t="shared" si="196"/>
        <v>Moderado</v>
      </c>
      <c r="AC157" s="109">
        <f t="shared" si="210"/>
        <v>0.5625</v>
      </c>
      <c r="AD157" s="77" t="str">
        <f t="shared" si="197"/>
        <v>Moderado</v>
      </c>
      <c r="AE157" s="78"/>
      <c r="AF157" s="105"/>
      <c r="AG157" s="112"/>
      <c r="AH157" s="113"/>
      <c r="AI157" s="113"/>
      <c r="AJ157" s="105"/>
      <c r="AK157" s="114"/>
      <c r="AL157" s="159"/>
      <c r="AM157" s="156"/>
      <c r="AN157" s="153"/>
      <c r="AO157" s="395"/>
    </row>
    <row r="158" spans="2:41" ht="127.5" x14ac:dyDescent="0.2">
      <c r="B158" s="150"/>
      <c r="C158" s="144"/>
      <c r="D158" s="147"/>
      <c r="E158" s="144"/>
      <c r="F158" s="144"/>
      <c r="G158" s="147"/>
      <c r="H158" s="144"/>
      <c r="I158" s="165"/>
      <c r="J158" s="162"/>
      <c r="K158" s="168"/>
      <c r="L158" s="117"/>
      <c r="M158" s="165"/>
      <c r="N158" s="162"/>
      <c r="O158" s="153"/>
      <c r="P158" s="106">
        <v>7</v>
      </c>
      <c r="Q158" s="115" t="s">
        <v>449</v>
      </c>
      <c r="R158" s="108" t="str">
        <f t="shared" si="211"/>
        <v>Probabilidad</v>
      </c>
      <c r="S158" s="78" t="s">
        <v>144</v>
      </c>
      <c r="T158" s="78" t="s">
        <v>152</v>
      </c>
      <c r="U158" s="109" t="str">
        <f t="shared" si="212"/>
        <v>40%</v>
      </c>
      <c r="V158" s="78" t="s">
        <v>157</v>
      </c>
      <c r="W158" s="78" t="s">
        <v>159</v>
      </c>
      <c r="X158" s="78" t="s">
        <v>195</v>
      </c>
      <c r="Y158" s="110">
        <f t="shared" si="209"/>
        <v>2.4695999999999999E-2</v>
      </c>
      <c r="Z158" s="111" t="str">
        <f t="shared" si="194"/>
        <v>Rara vez</v>
      </c>
      <c r="AA158" s="109">
        <f t="shared" si="213"/>
        <v>2.4695999999999999E-2</v>
      </c>
      <c r="AB158" s="111" t="str">
        <f t="shared" si="196"/>
        <v>Moderado</v>
      </c>
      <c r="AC158" s="109">
        <f t="shared" si="210"/>
        <v>0.5625</v>
      </c>
      <c r="AD158" s="77" t="str">
        <f t="shared" si="197"/>
        <v>Moderado</v>
      </c>
      <c r="AE158" s="78"/>
      <c r="AF158" s="105"/>
      <c r="AG158" s="112"/>
      <c r="AH158" s="113"/>
      <c r="AI158" s="113"/>
      <c r="AJ158" s="105"/>
      <c r="AK158" s="114"/>
      <c r="AL158" s="159"/>
      <c r="AM158" s="156"/>
      <c r="AN158" s="153"/>
      <c r="AO158" s="395"/>
    </row>
    <row r="159" spans="2:41" ht="102.75" customHeight="1" x14ac:dyDescent="0.2">
      <c r="B159" s="151"/>
      <c r="C159" s="145"/>
      <c r="D159" s="148"/>
      <c r="E159" s="145"/>
      <c r="F159" s="145"/>
      <c r="G159" s="148"/>
      <c r="H159" s="145"/>
      <c r="I159" s="166"/>
      <c r="J159" s="163"/>
      <c r="K159" s="169"/>
      <c r="L159" s="117"/>
      <c r="M159" s="166"/>
      <c r="N159" s="163"/>
      <c r="O159" s="154"/>
      <c r="P159" s="106">
        <v>8</v>
      </c>
      <c r="Q159" s="115" t="s">
        <v>450</v>
      </c>
      <c r="R159" s="108" t="str">
        <f t="shared" si="211"/>
        <v>Probabilidad</v>
      </c>
      <c r="S159" s="78" t="s">
        <v>144</v>
      </c>
      <c r="T159" s="78" t="s">
        <v>152</v>
      </c>
      <c r="U159" s="109" t="str">
        <f t="shared" si="212"/>
        <v>40%</v>
      </c>
      <c r="V159" s="78" t="s">
        <v>155</v>
      </c>
      <c r="W159" s="78" t="s">
        <v>159</v>
      </c>
      <c r="X159" s="78" t="s">
        <v>163</v>
      </c>
      <c r="Y159" s="110">
        <f t="shared" si="209"/>
        <v>1.4817599999999998E-2</v>
      </c>
      <c r="Z159" s="111" t="str">
        <f t="shared" si="194"/>
        <v>Rara vez</v>
      </c>
      <c r="AA159" s="109">
        <f t="shared" si="213"/>
        <v>1.4817599999999998E-2</v>
      </c>
      <c r="AB159" s="111" t="str">
        <f t="shared" si="196"/>
        <v>Moderado</v>
      </c>
      <c r="AC159" s="109">
        <f t="shared" si="210"/>
        <v>0.5625</v>
      </c>
      <c r="AD159" s="77" t="str">
        <f t="shared" si="197"/>
        <v>Moderado</v>
      </c>
      <c r="AE159" s="78" t="s">
        <v>173</v>
      </c>
      <c r="AF159" s="105" t="s">
        <v>451</v>
      </c>
      <c r="AG159" s="105" t="s">
        <v>478</v>
      </c>
      <c r="AH159" s="113">
        <v>45596</v>
      </c>
      <c r="AI159" s="113"/>
      <c r="AJ159" s="105"/>
      <c r="AK159" s="114" t="s">
        <v>176</v>
      </c>
      <c r="AL159" s="160"/>
      <c r="AM159" s="157"/>
      <c r="AN159" s="154"/>
      <c r="AO159" s="396"/>
    </row>
    <row r="160" spans="2:41" ht="140.25" x14ac:dyDescent="0.2">
      <c r="B160" s="141" t="s">
        <v>434</v>
      </c>
      <c r="C160" s="142" t="s">
        <v>208</v>
      </c>
      <c r="D160" s="142" t="s">
        <v>435</v>
      </c>
      <c r="E160" s="142" t="s">
        <v>231</v>
      </c>
      <c r="F160" s="142" t="s">
        <v>436</v>
      </c>
      <c r="G160" s="146" t="s">
        <v>437</v>
      </c>
      <c r="H160" s="142" t="s">
        <v>61</v>
      </c>
      <c r="I160" s="139" t="str">
        <f t="shared" ref="I160" si="214">IF(H160&lt;=0,"",IF(H160="No se ha presentado en los últimos 5 años","Rara vez",IF(H160="Al menos 1 vez en los últimos 5 años","Improbable",IF(H160="Al menos 1 vez en los últimos 2 años","Posible",IF(H160="Al menos 1 vez en el último año","Probable",IF(H160="Más de 1 vez al año","Casi Seguro"))))))</f>
        <v>Rara vez</v>
      </c>
      <c r="J160" s="138">
        <f t="shared" ref="J160" si="215">IF(I160="","",IF(I160="Rara vez",0.2,IF(I160="Improbable",0.4,IF(I160="Posible",0.6,IF(I160="Probable",0.8,IF(I160="Casi Seguro",1,))))))</f>
        <v>0.2</v>
      </c>
      <c r="K160" s="137" t="s">
        <v>82</v>
      </c>
      <c r="L160" s="138" t="str">
        <f>IF(NOT(ISERROR(MATCH(K160,'[14]Tabla Impacto'!$B$220:$B$222,0))),'[14]Tabla Impacto'!$F$222&amp;"Por favor no seleccionar los criterios de impacto(Afectación Económica o presupuestal y Pérdida Reputacional)",K160)</f>
        <v xml:space="preserve">Responder afirmativamente de DOCE a DIECINUEVE </v>
      </c>
      <c r="M160" s="139" t="str">
        <f>IF(OR(L160='[14]Tabla Impacto'!$C$5),"Moderado",IF(OR(L160='[14]Tabla Impacto'!$C$6),"Mayor",IF(OR(L160='[14]Tabla Impacto'!$C$7),"Catastrófico","")))</f>
        <v>Catastrófico</v>
      </c>
      <c r="N160" s="138">
        <f>IF(M160="","",IF(M160="Leve",0.2,IF(M160="Menor",0.4,IF(M160="Moderado",0.6,IF(M160="Mayor",0.8,IF(M160="Catastrófico",1,))))))</f>
        <v>1</v>
      </c>
      <c r="O160" s="134" t="str">
        <f t="shared" ref="O160" si="216">IF(OR(AND(I160="Rara vez",M160="Leve"),AND(I160="Rara vez",M160="Menor"),AND(I160="Improbable",M160="Leve")),"Bajo",IF(OR(AND(I160="Rara vez",M160="Moderado"),AND(I160="Improbable",M160="Menor"),AND(I160="Improbable",M160="Moderado"),AND(I160="Posible",M160="Leve"),AND(I160="Posible",M160="Menor"),AND(I160="Posible",M160="Moderado"),AND(I160="Probable",M160="Leve"),AND(I160="Probable",M160="Menor")),"Moderado",IF(OR(AND(I160="Rara vez",M160="Mayor"),AND(I160="Improbable",M160="Mayor"),AND(I160="Posible",M160="Mayor"),AND(I160="Probable",M160="Moderado"),AND(I160="Probable",M160="Mayor"),AND(I160="Casi Seguro",M160="Leve"),AND(I160="Casi Seguro",M160="Menor"),AND(I160="Casi Seguro",M160="Moderado"),AND(I160="Casi Seguro",M160="Mayor")),"Alto",IF(OR(AND(I160="Rara vez",M160="Catastrófico"),AND(I160="Improbable",M160="Catastrófico"),AND(I160="Posible",M160="Catastrófico"),AND(I160="Probable",M160="Catastrófico"),AND(I160="Casi Seguro",M160="Catastrófico")),"Extremo",""))))</f>
        <v>Extremo</v>
      </c>
      <c r="P160" s="106">
        <v>1</v>
      </c>
      <c r="Q160" s="107" t="s">
        <v>438</v>
      </c>
      <c r="R160" s="108" t="str">
        <f>IF(OR(S160="Preventivo",S160="Detectivo"),"Probabilidad",IF(S160="Correctivo","Impacto",""))</f>
        <v>Probabilidad</v>
      </c>
      <c r="S160" s="78" t="s">
        <v>146</v>
      </c>
      <c r="T160" s="78" t="s">
        <v>152</v>
      </c>
      <c r="U160" s="109" t="str">
        <f>IF(AND(S160="Preventivo",T160="Automático"),"50%",IF(AND(S160="Preventivo",T160="Manual"),"40%",IF(AND(S160="Detectivo",T160="Automático"),"40%",IF(AND(S160="Detectivo",T160="Manual"),"30%",IF(AND(S160="Correctivo",T160="Automático"),"35%",IF(AND(S160="Correctivo",T160="Manual"),"25%",""))))))</f>
        <v>30%</v>
      </c>
      <c r="V160" s="78" t="s">
        <v>155</v>
      </c>
      <c r="W160" s="78" t="s">
        <v>159</v>
      </c>
      <c r="X160" s="78" t="s">
        <v>163</v>
      </c>
      <c r="Y160" s="110">
        <f>IFERROR(IF(R160="Probabilidad",(J160-(+J160*U160)),IF(R160="Impacto",J160,"")),"")</f>
        <v>0.14000000000000001</v>
      </c>
      <c r="Z160" s="111" t="str">
        <f t="shared" si="194"/>
        <v>Rara vez</v>
      </c>
      <c r="AA160" s="109">
        <f>+Y160</f>
        <v>0.14000000000000001</v>
      </c>
      <c r="AB160" s="111" t="str">
        <f t="shared" si="196"/>
        <v>Catastrófico</v>
      </c>
      <c r="AC160" s="109">
        <f>IFERROR(IF(R160="Impacto",(N160-(+N160*U160)),IF(R160="Probabilidad",N160,"")),"")</f>
        <v>1</v>
      </c>
      <c r="AD160" s="77" t="str">
        <f t="shared" si="197"/>
        <v>Extremo</v>
      </c>
      <c r="AE160" s="78"/>
      <c r="AF160" s="105"/>
      <c r="AG160" s="112"/>
      <c r="AH160" s="113"/>
      <c r="AI160" s="113"/>
      <c r="AJ160" s="105"/>
      <c r="AK160" s="114"/>
      <c r="AL160" s="140" t="s">
        <v>423</v>
      </c>
      <c r="AM160" s="135" t="s">
        <v>222</v>
      </c>
      <c r="AN160" s="134" t="str">
        <f>+O160</f>
        <v>Extremo</v>
      </c>
      <c r="AO160" s="393" t="str">
        <f>+AD163</f>
        <v>Moderado</v>
      </c>
    </row>
    <row r="161" spans="2:41" ht="75" x14ac:dyDescent="0.2">
      <c r="B161" s="141"/>
      <c r="C161" s="142"/>
      <c r="D161" s="142"/>
      <c r="E161" s="142"/>
      <c r="F161" s="142"/>
      <c r="G161" s="147"/>
      <c r="H161" s="142"/>
      <c r="I161" s="139"/>
      <c r="J161" s="138"/>
      <c r="K161" s="137"/>
      <c r="L161" s="138">
        <f>IF(NOT(ISERROR(MATCH(K161,_xlfn.ANCHORARRAY(G184),0))),J186&amp;"Por favor no seleccionar los criterios de impacto",K161)</f>
        <v>0</v>
      </c>
      <c r="M161" s="139"/>
      <c r="N161" s="138"/>
      <c r="O161" s="134"/>
      <c r="P161" s="106">
        <v>2</v>
      </c>
      <c r="Q161" s="115" t="s">
        <v>439</v>
      </c>
      <c r="R161" s="108" t="str">
        <f>IF(OR(S161="Preventivo",S161="Detectivo"),"Probabilidad",IF(S161="Correctivo","Impacto",""))</f>
        <v>Impacto</v>
      </c>
      <c r="S161" s="78" t="s">
        <v>148</v>
      </c>
      <c r="T161" s="78" t="s">
        <v>152</v>
      </c>
      <c r="U161" s="109" t="str">
        <f t="shared" ref="U161:U165" si="217">IF(AND(S161="Preventivo",T161="Automático"),"50%",IF(AND(S161="Preventivo",T161="Manual"),"40%",IF(AND(S161="Detectivo",T161="Automático"),"40%",IF(AND(S161="Detectivo",T161="Manual"),"30%",IF(AND(S161="Correctivo",T161="Automático"),"35%",IF(AND(S161="Correctivo",T161="Manual"),"25%",""))))))</f>
        <v>25%</v>
      </c>
      <c r="V161" s="78" t="s">
        <v>155</v>
      </c>
      <c r="W161" s="78" t="s">
        <v>159</v>
      </c>
      <c r="X161" s="78" t="s">
        <v>163</v>
      </c>
      <c r="Y161" s="119">
        <f>IFERROR(IF(AND(R160="Probabilidad",R161="Probabilidad"),(AA160-(+AA160*U161)),IF(R161="Probabilidad",(J160-(+J160*U161)),IF(R161="Impacto",AA160,""))),"")</f>
        <v>0.14000000000000001</v>
      </c>
      <c r="Z161" s="111" t="str">
        <f t="shared" si="194"/>
        <v>Rara vez</v>
      </c>
      <c r="AA161" s="109">
        <f t="shared" ref="AA161:AA165" si="218">+Y161</f>
        <v>0.14000000000000001</v>
      </c>
      <c r="AB161" s="111" t="str">
        <f t="shared" si="196"/>
        <v>Mayor</v>
      </c>
      <c r="AC161" s="109">
        <f>IFERROR(IF(AND(R160="Impacto",R161="Impacto"),(AC160-(+AC160*U161)),IF(R161="Impacto",(N160-(+N160*U161)),IF(R161="Probabilidad",AC160,""))),"")</f>
        <v>0.75</v>
      </c>
      <c r="AD161" s="77" t="str">
        <f t="shared" si="197"/>
        <v>Alto</v>
      </c>
      <c r="AE161" s="78"/>
      <c r="AF161" s="105"/>
      <c r="AG161" s="112"/>
      <c r="AH161" s="113"/>
      <c r="AI161" s="113"/>
      <c r="AJ161" s="105"/>
      <c r="AK161" s="114"/>
      <c r="AL161" s="170"/>
      <c r="AM161" s="136"/>
      <c r="AN161" s="134"/>
      <c r="AO161" s="393"/>
    </row>
    <row r="162" spans="2:41" ht="75" x14ac:dyDescent="0.2">
      <c r="B162" s="141"/>
      <c r="C162" s="142"/>
      <c r="D162" s="142"/>
      <c r="E162" s="142"/>
      <c r="F162" s="142"/>
      <c r="G162" s="147"/>
      <c r="H162" s="142"/>
      <c r="I162" s="139"/>
      <c r="J162" s="138"/>
      <c r="K162" s="137"/>
      <c r="L162" s="138">
        <f>IF(NOT(ISERROR(MATCH(K162,_xlfn.ANCHORARRAY(G185),0))),J187&amp;"Por favor no seleccionar los criterios de impacto",K162)</f>
        <v>0</v>
      </c>
      <c r="M162" s="139"/>
      <c r="N162" s="138"/>
      <c r="O162" s="134"/>
      <c r="P162" s="106">
        <v>3</v>
      </c>
      <c r="Q162" s="115" t="s">
        <v>424</v>
      </c>
      <c r="R162" s="108" t="str">
        <f>IF(OR(S162="Preventivo",S162="Detectivo"),"Probabilidad",IF(S162="Correctivo","Impacto",""))</f>
        <v>Impacto</v>
      </c>
      <c r="S162" s="78" t="s">
        <v>148</v>
      </c>
      <c r="T162" s="78" t="s">
        <v>152</v>
      </c>
      <c r="U162" s="109" t="str">
        <f t="shared" si="217"/>
        <v>25%</v>
      </c>
      <c r="V162" s="78" t="s">
        <v>155</v>
      </c>
      <c r="W162" s="78" t="s">
        <v>159</v>
      </c>
      <c r="X162" s="78" t="s">
        <v>163</v>
      </c>
      <c r="Y162" s="110">
        <f>IFERROR(IF(AND(R161="Probabilidad",R162="Probabilidad"),(AA161-(+AA161*U162)),IF(AND(R161="Impacto",R162="Probabilidad"),(AA160-(+AA160*U162)),IF(R162="Impacto",AA161,""))),"")</f>
        <v>0.14000000000000001</v>
      </c>
      <c r="Z162" s="111" t="str">
        <f t="shared" si="194"/>
        <v>Rara vez</v>
      </c>
      <c r="AA162" s="109">
        <f t="shared" si="218"/>
        <v>0.14000000000000001</v>
      </c>
      <c r="AB162" s="111" t="str">
        <f t="shared" si="196"/>
        <v>Moderado</v>
      </c>
      <c r="AC162" s="109">
        <f>IFERROR(IF(AND(R161="Impacto",R162="Impacto"),(AC161-(+AC161*U162)),IF(AND(R161="Probabilidad",R162="Impacto"),(AC160-(+AC160*U162)),IF(R162="Probabilidad",AC161,""))),"")</f>
        <v>0.5625</v>
      </c>
      <c r="AD162" s="77" t="str">
        <f t="shared" si="197"/>
        <v>Moderado</v>
      </c>
      <c r="AE162" s="78"/>
      <c r="AF162" s="105"/>
      <c r="AG162" s="112"/>
      <c r="AH162" s="113"/>
      <c r="AI162" s="113"/>
      <c r="AJ162" s="105"/>
      <c r="AK162" s="114"/>
      <c r="AL162" s="170"/>
      <c r="AM162" s="136"/>
      <c r="AN162" s="134"/>
      <c r="AO162" s="393"/>
    </row>
    <row r="163" spans="2:41" ht="102" x14ac:dyDescent="0.2">
      <c r="B163" s="141"/>
      <c r="C163" s="142"/>
      <c r="D163" s="142"/>
      <c r="E163" s="142"/>
      <c r="F163" s="142"/>
      <c r="G163" s="147"/>
      <c r="H163" s="142"/>
      <c r="I163" s="139"/>
      <c r="J163" s="138"/>
      <c r="K163" s="137"/>
      <c r="L163" s="138">
        <f>IF(NOT(ISERROR(MATCH(K163,_xlfn.ANCHORARRAY(G186),0))),J188&amp;"Por favor no seleccionar los criterios de impacto",K163)</f>
        <v>0</v>
      </c>
      <c r="M163" s="139"/>
      <c r="N163" s="138"/>
      <c r="O163" s="134"/>
      <c r="P163" s="106">
        <v>4</v>
      </c>
      <c r="Q163" s="115" t="s">
        <v>487</v>
      </c>
      <c r="R163" s="108" t="str">
        <f t="shared" ref="R163:R165" si="219">IF(OR(S163="Preventivo",S163="Detectivo"),"Probabilidad",IF(S163="Correctivo","Impacto",""))</f>
        <v>Probabilidad</v>
      </c>
      <c r="S163" s="78" t="s">
        <v>144</v>
      </c>
      <c r="T163" s="78" t="s">
        <v>152</v>
      </c>
      <c r="U163" s="109" t="str">
        <f t="shared" si="217"/>
        <v>40%</v>
      </c>
      <c r="V163" s="78" t="s">
        <v>155</v>
      </c>
      <c r="W163" s="78" t="s">
        <v>159</v>
      </c>
      <c r="X163" s="78" t="s">
        <v>165</v>
      </c>
      <c r="Y163" s="110">
        <f t="shared" ref="Y163:Y165" si="220">IFERROR(IF(AND(R162="Probabilidad",R163="Probabilidad"),(AA162-(+AA162*U163)),IF(AND(R162="Impacto",R163="Probabilidad"),(AA161-(+AA161*U163)),IF(R163="Impacto",AA162,""))),"")</f>
        <v>8.4000000000000005E-2</v>
      </c>
      <c r="Z163" s="111" t="str">
        <f t="shared" si="194"/>
        <v>Rara vez</v>
      </c>
      <c r="AA163" s="109">
        <f t="shared" si="218"/>
        <v>8.4000000000000005E-2</v>
      </c>
      <c r="AB163" s="111" t="str">
        <f t="shared" si="196"/>
        <v>Moderado</v>
      </c>
      <c r="AC163" s="109">
        <f t="shared" ref="AC163:AC165" si="221">IFERROR(IF(AND(R162="Impacto",R163="Impacto"),(AC162-(+AC162*U163)),IF(AND(R162="Probabilidad",R163="Impacto"),(AC161-(+AC161*U163)),IF(R163="Probabilidad",AC162,""))),"")</f>
        <v>0.5625</v>
      </c>
      <c r="AD163" s="77" t="str">
        <f t="shared" si="197"/>
        <v>Moderado</v>
      </c>
      <c r="AE163" s="78" t="s">
        <v>173</v>
      </c>
      <c r="AF163" s="105"/>
      <c r="AG163" s="112"/>
      <c r="AH163" s="113"/>
      <c r="AI163" s="113"/>
      <c r="AJ163" s="105"/>
      <c r="AK163" s="114"/>
      <c r="AL163" s="170"/>
      <c r="AM163" s="136"/>
      <c r="AN163" s="134"/>
      <c r="AO163" s="393"/>
    </row>
    <row r="164" spans="2:41" x14ac:dyDescent="0.2">
      <c r="B164" s="141"/>
      <c r="C164" s="142"/>
      <c r="D164" s="142"/>
      <c r="E164" s="142"/>
      <c r="F164" s="142"/>
      <c r="G164" s="147"/>
      <c r="H164" s="142"/>
      <c r="I164" s="139"/>
      <c r="J164" s="138"/>
      <c r="K164" s="137"/>
      <c r="L164" s="138">
        <f>IF(NOT(ISERROR(MATCH(K164,_xlfn.ANCHORARRAY(G187),0))),J189&amp;"Por favor no seleccionar los criterios de impacto",K164)</f>
        <v>0</v>
      </c>
      <c r="M164" s="139"/>
      <c r="N164" s="138"/>
      <c r="O164" s="134"/>
      <c r="P164" s="106">
        <v>5</v>
      </c>
      <c r="Q164" s="115"/>
      <c r="R164" s="108" t="str">
        <f t="shared" si="219"/>
        <v/>
      </c>
      <c r="S164" s="78"/>
      <c r="T164" s="78"/>
      <c r="U164" s="109" t="str">
        <f t="shared" si="217"/>
        <v/>
      </c>
      <c r="V164" s="78"/>
      <c r="W164" s="78"/>
      <c r="X164" s="78"/>
      <c r="Y164" s="110" t="str">
        <f t="shared" si="220"/>
        <v/>
      </c>
      <c r="Z164" s="111" t="str">
        <f t="shared" si="194"/>
        <v/>
      </c>
      <c r="AA164" s="109" t="str">
        <f t="shared" si="218"/>
        <v/>
      </c>
      <c r="AB164" s="111" t="str">
        <f t="shared" si="196"/>
        <v/>
      </c>
      <c r="AC164" s="109" t="str">
        <f t="shared" si="221"/>
        <v/>
      </c>
      <c r="AD164" s="77" t="str">
        <f t="shared" si="197"/>
        <v/>
      </c>
      <c r="AE164" s="78"/>
      <c r="AF164" s="105"/>
      <c r="AG164" s="112"/>
      <c r="AH164" s="113"/>
      <c r="AI164" s="113"/>
      <c r="AJ164" s="105"/>
      <c r="AK164" s="114"/>
      <c r="AL164" s="170"/>
      <c r="AM164" s="136"/>
      <c r="AN164" s="134"/>
      <c r="AO164" s="393"/>
    </row>
    <row r="165" spans="2:41" x14ac:dyDescent="0.2">
      <c r="B165" s="141"/>
      <c r="C165" s="142"/>
      <c r="D165" s="142"/>
      <c r="E165" s="142"/>
      <c r="F165" s="142"/>
      <c r="G165" s="148"/>
      <c r="H165" s="142"/>
      <c r="I165" s="139"/>
      <c r="J165" s="138"/>
      <c r="K165" s="137"/>
      <c r="L165" s="138">
        <f>IF(NOT(ISERROR(MATCH(K165,_xlfn.ANCHORARRAY(G188),0))),J190&amp;"Por favor no seleccionar los criterios de impacto",K165)</f>
        <v>0</v>
      </c>
      <c r="M165" s="139"/>
      <c r="N165" s="138"/>
      <c r="O165" s="134"/>
      <c r="P165" s="106">
        <v>6</v>
      </c>
      <c r="Q165" s="115"/>
      <c r="R165" s="108" t="str">
        <f t="shared" si="219"/>
        <v/>
      </c>
      <c r="S165" s="78"/>
      <c r="T165" s="78"/>
      <c r="U165" s="109" t="str">
        <f t="shared" si="217"/>
        <v/>
      </c>
      <c r="V165" s="78"/>
      <c r="W165" s="78"/>
      <c r="X165" s="78"/>
      <c r="Y165" s="110" t="str">
        <f t="shared" si="220"/>
        <v/>
      </c>
      <c r="Z165" s="111" t="str">
        <f t="shared" si="194"/>
        <v/>
      </c>
      <c r="AA165" s="109" t="str">
        <f t="shared" si="218"/>
        <v/>
      </c>
      <c r="AB165" s="111" t="str">
        <f t="shared" si="196"/>
        <v/>
      </c>
      <c r="AC165" s="109" t="str">
        <f t="shared" si="221"/>
        <v/>
      </c>
      <c r="AD165" s="77" t="str">
        <f t="shared" si="197"/>
        <v/>
      </c>
      <c r="AE165" s="78"/>
      <c r="AF165" s="105"/>
      <c r="AG165" s="112"/>
      <c r="AH165" s="113"/>
      <c r="AI165" s="113"/>
      <c r="AJ165" s="105"/>
      <c r="AK165" s="114"/>
      <c r="AL165" s="170"/>
      <c r="AM165" s="136"/>
      <c r="AN165" s="134"/>
      <c r="AO165" s="393"/>
    </row>
    <row r="166" spans="2:41" ht="114.75" customHeight="1" x14ac:dyDescent="0.2">
      <c r="B166" s="141" t="s">
        <v>440</v>
      </c>
      <c r="C166" s="142" t="s">
        <v>426</v>
      </c>
      <c r="D166" s="142" t="s">
        <v>480</v>
      </c>
      <c r="E166" s="142" t="s">
        <v>345</v>
      </c>
      <c r="F166" s="142" t="s">
        <v>441</v>
      </c>
      <c r="G166" s="146" t="s">
        <v>442</v>
      </c>
      <c r="H166" s="142" t="s">
        <v>67</v>
      </c>
      <c r="I166" s="139" t="str">
        <f t="shared" ref="I166" si="222">IF(H166&lt;=0,"",IF(H166="No se ha presentado en los últimos 5 años","Rara vez",IF(H166="Al menos 1 vez en los últimos 5 años","Improbable",IF(H166="Al menos 1 vez en los últimos 2 años","Posible",IF(H166="Al menos 1 vez en el último año","Probable",IF(H166="Más de 1 vez al año","Casi Seguro"))))))</f>
        <v>Posible</v>
      </c>
      <c r="J166" s="138">
        <f t="shared" ref="J166" si="223">IF(I166="","",IF(I166="Rara vez",0.2,IF(I166="Improbable",0.4,IF(I166="Posible",0.6,IF(I166="Probable",0.8,IF(I166="Casi Seguro",1,))))))</f>
        <v>0.6</v>
      </c>
      <c r="K166" s="137" t="s">
        <v>82</v>
      </c>
      <c r="L166" s="138" t="str">
        <f>IF(NOT(ISERROR(MATCH(K166,'[15]Tabla Impacto'!$B$220:$B$222,0))),'[15]Tabla Impacto'!$F$222&amp;"Por favor no seleccionar los criterios de impacto(Afectación Económica o presupuestal y Pérdida Reputacional)",K166)</f>
        <v xml:space="preserve">Responder afirmativamente de DOCE a DIECINUEVE </v>
      </c>
      <c r="M166" s="139" t="str">
        <f>IF(OR(L166='[15]Tabla Impacto'!$C$5),"Moderado",IF(OR(L166='[15]Tabla Impacto'!$C$6),"Mayor",IF(OR(L166='[15]Tabla Impacto'!$C$7),"Catastrófico","")))</f>
        <v>Catastrófico</v>
      </c>
      <c r="N166" s="138">
        <f>IF(M166="","",IF(M166="Leve",0.2,IF(M166="Menor",0.4,IF(M166="Moderado",0.6,IF(M166="Mayor",0.8,IF(M166="Catastrófico",1,))))))</f>
        <v>1</v>
      </c>
      <c r="O166" s="134" t="str">
        <f t="shared" ref="O166" si="224">IF(OR(AND(I166="Rara vez",M166="Leve"),AND(I166="Rara vez",M166="Menor"),AND(I166="Improbable",M166="Leve")),"Bajo",IF(OR(AND(I166="Rara vez",M166="Moderado"),AND(I166="Improbable",M166="Menor"),AND(I166="Improbable",M166="Moderado"),AND(I166="Posible",M166="Leve"),AND(I166="Posible",M166="Menor"),AND(I166="Posible",M166="Moderado"),AND(I166="Probable",M166="Leve"),AND(I166="Probable",M166="Menor")),"Moderado",IF(OR(AND(I166="Rara vez",M166="Mayor"),AND(I166="Improbable",M166="Mayor"),AND(I166="Posible",M166="Mayor"),AND(I166="Probable",M166="Moderado"),AND(I166="Probable",M166="Mayor"),AND(I166="Casi Seguro",M166="Leve"),AND(I166="Casi Seguro",M166="Menor"),AND(I166="Casi Seguro",M166="Moderado"),AND(I166="Casi Seguro",M166="Mayor")),"Alto",IF(OR(AND(I166="Rara vez",M166="Catastrófico"),AND(I166="Improbable",M166="Catastrófico"),AND(I166="Posible",M166="Catastrófico"),AND(I166="Probable",M166="Catastrófico"),AND(I166="Casi Seguro",M166="Catastrófico")),"Extremo",""))))</f>
        <v>Extremo</v>
      </c>
      <c r="P166" s="106">
        <v>1</v>
      </c>
      <c r="Q166" s="115" t="s">
        <v>488</v>
      </c>
      <c r="R166" s="108" t="str">
        <f>IF(OR(S166="Preventivo",S166="Detectivo"),"Probabilidad",IF(S166="Correctivo","Impacto",""))</f>
        <v>Probabilidad</v>
      </c>
      <c r="S166" s="78" t="s">
        <v>146</v>
      </c>
      <c r="T166" s="78" t="s">
        <v>152</v>
      </c>
      <c r="U166" s="109" t="str">
        <f>IF(AND(S166="Preventivo",T166="Automático"),"50%",IF(AND(S166="Preventivo",T166="Manual"),"40%",IF(AND(S166="Detectivo",T166="Automático"),"40%",IF(AND(S166="Detectivo",T166="Manual"),"30%",IF(AND(S166="Correctivo",T166="Automático"),"35%",IF(AND(S166="Correctivo",T166="Manual"),"25%",""))))))</f>
        <v>30%</v>
      </c>
      <c r="V166" s="78" t="s">
        <v>155</v>
      </c>
      <c r="W166" s="78" t="s">
        <v>159</v>
      </c>
      <c r="X166" s="78" t="s">
        <v>163</v>
      </c>
      <c r="Y166" s="110">
        <f>IFERROR(IF(R166="Probabilidad",(J166-(+J166*U166)),IF(R166="Impacto",J166,"")),"")</f>
        <v>0.42</v>
      </c>
      <c r="Z166" s="111" t="str">
        <f t="shared" si="194"/>
        <v>Posible</v>
      </c>
      <c r="AA166" s="109">
        <f>+Y166</f>
        <v>0.42</v>
      </c>
      <c r="AB166" s="111" t="str">
        <f t="shared" si="196"/>
        <v>Catastrófico</v>
      </c>
      <c r="AC166" s="109">
        <f>IFERROR(IF(R166="Impacto",(N166-(+N166*U166)),IF(R166="Probabilidad",N166,"")),"")</f>
        <v>1</v>
      </c>
      <c r="AD166" s="77" t="str">
        <f t="shared" si="197"/>
        <v>Extremo</v>
      </c>
      <c r="AE166" s="78" t="s">
        <v>173</v>
      </c>
      <c r="AF166" s="105"/>
      <c r="AG166" s="112"/>
      <c r="AH166" s="113"/>
      <c r="AI166" s="113"/>
      <c r="AJ166" s="105"/>
      <c r="AK166" s="114"/>
      <c r="AL166" s="140">
        <v>44917</v>
      </c>
      <c r="AM166" s="135" t="s">
        <v>222</v>
      </c>
      <c r="AN166" s="134" t="str">
        <f>+O166</f>
        <v>Extremo</v>
      </c>
      <c r="AO166" s="393" t="str">
        <f>+AD166</f>
        <v>Extremo</v>
      </c>
    </row>
    <row r="167" spans="2:41" ht="21.75" customHeight="1" x14ac:dyDescent="0.2">
      <c r="B167" s="141"/>
      <c r="C167" s="142"/>
      <c r="D167" s="142"/>
      <c r="E167" s="142"/>
      <c r="F167" s="142"/>
      <c r="G167" s="147"/>
      <c r="H167" s="142"/>
      <c r="I167" s="139"/>
      <c r="J167" s="138"/>
      <c r="K167" s="137"/>
      <c r="L167" s="138">
        <f>IF(NOT(ISERROR(MATCH(K167,_xlfn.ANCHORARRAY(G190),0))),J192&amp;"Por favor no seleccionar los criterios de impacto",K167)</f>
        <v>0</v>
      </c>
      <c r="M167" s="139"/>
      <c r="N167" s="138"/>
      <c r="O167" s="134"/>
      <c r="P167" s="106">
        <v>2</v>
      </c>
      <c r="Q167" s="115"/>
      <c r="R167" s="108" t="str">
        <f>IF(OR(S167="Preventivo",S167="Detectivo"),"Probabilidad",IF(S167="Correctivo","Impacto",""))</f>
        <v/>
      </c>
      <c r="S167" s="78"/>
      <c r="T167" s="78"/>
      <c r="U167" s="109" t="str">
        <f t="shared" ref="U167:U171" si="225">IF(AND(S167="Preventivo",T167="Automático"),"50%",IF(AND(S167="Preventivo",T167="Manual"),"40%",IF(AND(S167="Detectivo",T167="Automático"),"40%",IF(AND(S167="Detectivo",T167="Manual"),"30%",IF(AND(S167="Correctivo",T167="Automático"),"35%",IF(AND(S167="Correctivo",T167="Manual"),"25%",""))))))</f>
        <v/>
      </c>
      <c r="V167" s="78"/>
      <c r="W167" s="78"/>
      <c r="X167" s="78"/>
      <c r="Y167" s="110" t="str">
        <f>IFERROR(IF(AND(R166="Probabilidad",R167="Probabilidad"),(AA166-(+AA166*U167)),IF(R167="Probabilidad",(J166-(+J166*U167)),IF(R167="Impacto",AA166,""))),"")</f>
        <v/>
      </c>
      <c r="Z167" s="111" t="str">
        <f t="shared" si="194"/>
        <v/>
      </c>
      <c r="AA167" s="109" t="str">
        <f t="shared" ref="AA167:AA171" si="226">+Y167</f>
        <v/>
      </c>
      <c r="AB167" s="111" t="str">
        <f t="shared" si="196"/>
        <v/>
      </c>
      <c r="AC167" s="109" t="str">
        <f>IFERROR(IF(AND(R166="Impacto",R167="Impacto"),(AC166-(+AC166*U167)),IF(R167="Impacto",(N166-(+N166*U167)),IF(R167="Probabilidad",AC166,""))),"")</f>
        <v/>
      </c>
      <c r="AD167" s="77" t="str">
        <f t="shared" si="197"/>
        <v/>
      </c>
      <c r="AE167" s="78"/>
      <c r="AF167" s="105"/>
      <c r="AG167" s="112"/>
      <c r="AH167" s="113"/>
      <c r="AI167" s="113"/>
      <c r="AJ167" s="105"/>
      <c r="AK167" s="114"/>
      <c r="AL167" s="140"/>
      <c r="AM167" s="136"/>
      <c r="AN167" s="134"/>
      <c r="AO167" s="393"/>
    </row>
    <row r="168" spans="2:41" ht="29.25" customHeight="1" x14ac:dyDescent="0.2">
      <c r="B168" s="141"/>
      <c r="C168" s="142"/>
      <c r="D168" s="142"/>
      <c r="E168" s="142"/>
      <c r="F168" s="142"/>
      <c r="G168" s="147"/>
      <c r="H168" s="142"/>
      <c r="I168" s="139"/>
      <c r="J168" s="138"/>
      <c r="K168" s="137"/>
      <c r="L168" s="138">
        <f>IF(NOT(ISERROR(MATCH(K168,_xlfn.ANCHORARRAY(G191),0))),J193&amp;"Por favor no seleccionar los criterios de impacto",K168)</f>
        <v>0</v>
      </c>
      <c r="M168" s="139"/>
      <c r="N168" s="138"/>
      <c r="O168" s="134"/>
      <c r="P168" s="106">
        <v>3</v>
      </c>
      <c r="Q168" s="105"/>
      <c r="R168" s="108" t="str">
        <f>IF(OR(S168="Preventivo",S168="Detectivo"),"Probabilidad",IF(S168="Correctivo","Impacto",""))</f>
        <v/>
      </c>
      <c r="S168" s="78"/>
      <c r="T168" s="78"/>
      <c r="U168" s="109" t="str">
        <f t="shared" si="225"/>
        <v/>
      </c>
      <c r="V168" s="78"/>
      <c r="W168" s="78"/>
      <c r="X168" s="78"/>
      <c r="Y168" s="110" t="str">
        <f>IFERROR(IF(AND(R167="Probabilidad",R168="Probabilidad"),(AA167-(+AA167*U168)),IF(AND(R167="Impacto",R168="Probabilidad"),(AA166-(+AA166*U168)),IF(R168="Impacto",AA167,""))),"")</f>
        <v/>
      </c>
      <c r="Z168" s="111" t="str">
        <f t="shared" si="194"/>
        <v/>
      </c>
      <c r="AA168" s="109" t="str">
        <f t="shared" si="226"/>
        <v/>
      </c>
      <c r="AB168" s="111" t="str">
        <f t="shared" si="196"/>
        <v/>
      </c>
      <c r="AC168" s="109" t="str">
        <f>IFERROR(IF(AND(R167="Impacto",R168="Impacto"),(AC167-(+AC167*U168)),IF(AND(R167="Probabilidad",R168="Impacto"),(AC166-(+AC166*U168)),IF(R168="Probabilidad",AC167,""))),"")</f>
        <v/>
      </c>
      <c r="AD168" s="77" t="str">
        <f t="shared" si="197"/>
        <v/>
      </c>
      <c r="AE168" s="78"/>
      <c r="AF168" s="105"/>
      <c r="AG168" s="112"/>
      <c r="AH168" s="113"/>
      <c r="AI168" s="113"/>
      <c r="AJ168" s="105"/>
      <c r="AK168" s="114"/>
      <c r="AL168" s="140"/>
      <c r="AM168" s="136"/>
      <c r="AN168" s="134"/>
      <c r="AO168" s="393"/>
    </row>
    <row r="169" spans="2:41" ht="25.5" customHeight="1" x14ac:dyDescent="0.2">
      <c r="B169" s="141"/>
      <c r="C169" s="142"/>
      <c r="D169" s="142"/>
      <c r="E169" s="142"/>
      <c r="F169" s="142"/>
      <c r="G169" s="147"/>
      <c r="H169" s="142"/>
      <c r="I169" s="139"/>
      <c r="J169" s="138"/>
      <c r="K169" s="137"/>
      <c r="L169" s="138">
        <f>IF(NOT(ISERROR(MATCH(K169,_xlfn.ANCHORARRAY(G192),0))),J194&amp;"Por favor no seleccionar los criterios de impacto",K169)</f>
        <v>0</v>
      </c>
      <c r="M169" s="139"/>
      <c r="N169" s="138"/>
      <c r="O169" s="134"/>
      <c r="P169" s="106">
        <v>4</v>
      </c>
      <c r="Q169" s="115"/>
      <c r="R169" s="108" t="str">
        <f t="shared" ref="R169:R171" si="227">IF(OR(S169="Preventivo",S169="Detectivo"),"Probabilidad",IF(S169="Correctivo","Impacto",""))</f>
        <v/>
      </c>
      <c r="S169" s="78"/>
      <c r="T169" s="78"/>
      <c r="U169" s="109" t="str">
        <f t="shared" si="225"/>
        <v/>
      </c>
      <c r="V169" s="78"/>
      <c r="W169" s="78"/>
      <c r="X169" s="78"/>
      <c r="Y169" s="110" t="str">
        <f t="shared" ref="Y169:Y171" si="228">IFERROR(IF(AND(R168="Probabilidad",R169="Probabilidad"),(AA168-(+AA168*U169)),IF(AND(R168="Impacto",R169="Probabilidad"),(AA167-(+AA167*U169)),IF(R169="Impacto",AA168,""))),"")</f>
        <v/>
      </c>
      <c r="Z169" s="111" t="str">
        <f t="shared" si="194"/>
        <v/>
      </c>
      <c r="AA169" s="109" t="str">
        <f t="shared" si="226"/>
        <v/>
      </c>
      <c r="AB169" s="111" t="str">
        <f t="shared" si="196"/>
        <v/>
      </c>
      <c r="AC169" s="109" t="str">
        <f t="shared" ref="AC169:AC171" si="229">IFERROR(IF(AND(R168="Impacto",R169="Impacto"),(AC168-(+AC168*U169)),IF(AND(R168="Probabilidad",R169="Impacto"),(AC167-(+AC167*U169)),IF(R169="Probabilidad",AC168,""))),"")</f>
        <v/>
      </c>
      <c r="AD169" s="77" t="str">
        <f t="shared" si="197"/>
        <v/>
      </c>
      <c r="AE169" s="78"/>
      <c r="AF169" s="105"/>
      <c r="AG169" s="112"/>
      <c r="AH169" s="113"/>
      <c r="AI169" s="113"/>
      <c r="AJ169" s="105"/>
      <c r="AK169" s="114"/>
      <c r="AL169" s="140"/>
      <c r="AM169" s="136"/>
      <c r="AN169" s="134"/>
      <c r="AO169" s="393"/>
    </row>
    <row r="170" spans="2:41" ht="31.5" customHeight="1" x14ac:dyDescent="0.2">
      <c r="B170" s="141"/>
      <c r="C170" s="142"/>
      <c r="D170" s="142"/>
      <c r="E170" s="142"/>
      <c r="F170" s="142"/>
      <c r="G170" s="147"/>
      <c r="H170" s="142"/>
      <c r="I170" s="139"/>
      <c r="J170" s="138"/>
      <c r="K170" s="137"/>
      <c r="L170" s="138">
        <f>IF(NOT(ISERROR(MATCH(K170,_xlfn.ANCHORARRAY(G193),0))),J195&amp;"Por favor no seleccionar los criterios de impacto",K170)</f>
        <v>0</v>
      </c>
      <c r="M170" s="139"/>
      <c r="N170" s="138"/>
      <c r="O170" s="134"/>
      <c r="P170" s="106">
        <v>5</v>
      </c>
      <c r="Q170" s="115"/>
      <c r="R170" s="108" t="str">
        <f t="shared" si="227"/>
        <v/>
      </c>
      <c r="S170" s="78"/>
      <c r="T170" s="78"/>
      <c r="U170" s="109" t="str">
        <f t="shared" si="225"/>
        <v/>
      </c>
      <c r="V170" s="78"/>
      <c r="W170" s="78"/>
      <c r="X170" s="78"/>
      <c r="Y170" s="110" t="str">
        <f t="shared" si="228"/>
        <v/>
      </c>
      <c r="Z170" s="111" t="str">
        <f t="shared" si="194"/>
        <v/>
      </c>
      <c r="AA170" s="109" t="str">
        <f t="shared" si="226"/>
        <v/>
      </c>
      <c r="AB170" s="111" t="str">
        <f t="shared" si="196"/>
        <v/>
      </c>
      <c r="AC170" s="109" t="str">
        <f t="shared" si="229"/>
        <v/>
      </c>
      <c r="AD170" s="77" t="str">
        <f t="shared" si="197"/>
        <v/>
      </c>
      <c r="AE170" s="78"/>
      <c r="AF170" s="105"/>
      <c r="AG170" s="112"/>
      <c r="AH170" s="113"/>
      <c r="AI170" s="113"/>
      <c r="AJ170" s="105"/>
      <c r="AK170" s="114"/>
      <c r="AL170" s="140"/>
      <c r="AM170" s="136"/>
      <c r="AN170" s="134"/>
      <c r="AO170" s="393"/>
    </row>
    <row r="171" spans="2:41" x14ac:dyDescent="0.2">
      <c r="B171" s="141"/>
      <c r="C171" s="142"/>
      <c r="D171" s="142"/>
      <c r="E171" s="142"/>
      <c r="F171" s="142"/>
      <c r="G171" s="148"/>
      <c r="H171" s="142"/>
      <c r="I171" s="139"/>
      <c r="J171" s="138"/>
      <c r="K171" s="137"/>
      <c r="L171" s="138">
        <f>IF(NOT(ISERROR(MATCH(K171,_xlfn.ANCHORARRAY(G194),0))),J196&amp;"Por favor no seleccionar los criterios de impacto",K171)</f>
        <v>0</v>
      </c>
      <c r="M171" s="139"/>
      <c r="N171" s="138"/>
      <c r="O171" s="134"/>
      <c r="P171" s="106">
        <v>6</v>
      </c>
      <c r="Q171" s="115"/>
      <c r="R171" s="108" t="str">
        <f t="shared" si="227"/>
        <v/>
      </c>
      <c r="S171" s="78"/>
      <c r="T171" s="78"/>
      <c r="U171" s="109" t="str">
        <f t="shared" si="225"/>
        <v/>
      </c>
      <c r="V171" s="78"/>
      <c r="W171" s="78"/>
      <c r="X171" s="78"/>
      <c r="Y171" s="110" t="str">
        <f t="shared" si="228"/>
        <v/>
      </c>
      <c r="Z171" s="111" t="str">
        <f t="shared" si="194"/>
        <v/>
      </c>
      <c r="AA171" s="109" t="str">
        <f t="shared" si="226"/>
        <v/>
      </c>
      <c r="AB171" s="111" t="str">
        <f t="shared" si="196"/>
        <v/>
      </c>
      <c r="AC171" s="109" t="str">
        <f t="shared" si="229"/>
        <v/>
      </c>
      <c r="AD171" s="77" t="str">
        <f t="shared" si="197"/>
        <v/>
      </c>
      <c r="AE171" s="78"/>
      <c r="AF171" s="105"/>
      <c r="AG171" s="112"/>
      <c r="AH171" s="113"/>
      <c r="AI171" s="113"/>
      <c r="AJ171" s="105"/>
      <c r="AK171" s="114"/>
      <c r="AL171" s="140"/>
      <c r="AM171" s="136"/>
      <c r="AN171" s="134"/>
      <c r="AO171" s="393"/>
    </row>
    <row r="172" spans="2:41" ht="117.75" customHeight="1" x14ac:dyDescent="0.2">
      <c r="B172" s="141" t="s">
        <v>443</v>
      </c>
      <c r="C172" s="142" t="s">
        <v>207</v>
      </c>
      <c r="D172" s="136" t="s">
        <v>444</v>
      </c>
      <c r="E172" s="142" t="s">
        <v>231</v>
      </c>
      <c r="F172" s="171" t="s">
        <v>445</v>
      </c>
      <c r="G172" s="136" t="s">
        <v>446</v>
      </c>
      <c r="H172" s="142" t="s">
        <v>61</v>
      </c>
      <c r="I172" s="139" t="str">
        <f>IF(H172&lt;=0,"",IF(H172="No se ha presentado en los últimos 5 años","Rara vez",IF(H172="Al menos 1 vez en los últimos 5 años","Improbable",IF(H172="Al menos 1 vez en los últimos 2 años","Posible",IF(H172="Al menos 1 vez en el último año","Probable",IF(H172="Más de 1 vez al año","Casi Seguro"))))))</f>
        <v>Rara vez</v>
      </c>
      <c r="J172" s="138">
        <f>IF(I172="","",IF(I172="Rara vez",0.2,IF(I172="Improbable",0.4,IF(I172="Posible",0.6,IF(I172="Probable",0.8,IF(I172="Casi Seguro",1,))))))</f>
        <v>0.2</v>
      </c>
      <c r="K172" s="137" t="s">
        <v>82</v>
      </c>
      <c r="L172" s="138" t="str">
        <f>IF(NOT(ISERROR(MATCH(K172,'[16]Tabla Impacto'!$B$220:$B$222,0))),'[16]Tabla Impacto'!$F$222&amp;"Por favor no seleccionar los criterios de impacto(Criterios para calificar el impacto)",K172)</f>
        <v xml:space="preserve">Responder afirmativamente de DOCE a DIECINUEVE </v>
      </c>
      <c r="M172" s="139" t="str">
        <f>IF(OR(L172='[16]Tabla Impacto'!$C$5),"Moderado",IF(OR(L172='[16]Tabla Impacto'!$C$6),"Mayor",IF(OR(L172='[16]Tabla Impacto'!$C$7),"Catastrófico","")))</f>
        <v>Catastrófico</v>
      </c>
      <c r="N172" s="138">
        <f>IF(M172="","",IF(M172="Leve",0.2,IF(M172="Menor",0.4,IF(M172="Moderado",0.6,IF(M172="Mayor",0.8,IF(M172="Catastrófico",1,))))))</f>
        <v>1</v>
      </c>
      <c r="O172" s="134" t="str">
        <f>IF(OR(AND(I172="Rara vez",M172="Leve"),AND(I172="Rara vez",M172="Menor"),AND(I172="Improbable",M172="Leve")),"Bajo",IF(OR(AND(I172="Rara vez",M172="Moderado"),AND(I172="Improbable",M172="Menor"),AND(I172="Improbable",M172="Moderado"),AND(I172="Posible",M172="Leve"),AND(I172="Posible",M172="Menor"),AND(I172="Posible",M172="Moderado"),AND(I172="Probable",M172="Leve"),AND(I172="Probable",M172="Menor")),"Moderado",IF(OR(AND(I172="Rara vez",M172="Mayor"),AND(I172="Improbable",M172="Mayor"),AND(I172="Posible",M172="Mayor"),AND(I172="Probable",M172="Moderado"),AND(I172="Probable",M172="Mayor"),AND(I172="Casi Seguro",M172="Leve"),AND(I172="Casi Seguro",M172="Menor"),AND(I172="Casi Seguro",M172="Moderado"),AND(I172="Casi Seguro",M172="Mayor")),"Alto",IF(OR(AND(I172="Rara vez",M172="Catastrófico"),AND(I172="Improbable",M172="Catastrófico"),AND(I172="Posible",M172="Catastrófico"),AND(I172="Probable",M172="Catastrófico"),AND(I172="Casi Seguro",M172="Catastrófico")),"Extremo",""))))</f>
        <v>Extremo</v>
      </c>
      <c r="P172" s="132">
        <v>1</v>
      </c>
      <c r="Q172" s="115" t="s">
        <v>468</v>
      </c>
      <c r="R172" s="133" t="str">
        <f>IF(OR(S172="Preventivo",S172="Detectivo"),"Probabilidad",IF(S172="Correctivo","Impacto",""))</f>
        <v>Probabilidad</v>
      </c>
      <c r="S172" s="78" t="s">
        <v>144</v>
      </c>
      <c r="T172" s="78" t="s">
        <v>152</v>
      </c>
      <c r="U172" s="109" t="str">
        <f>IF(AND(S172="Preventivo",T172="Automático"),"50%",IF(AND(S172="Preventivo",T172="Manual"),"40%",IF(AND(S172="Detectivo",T172="Automático"),"40%",IF(AND(S172="Detectivo",T172="Manual"),"30%",IF(AND(S172="Correctivo",T172="Automático"),"35%",IF(AND(S172="Correctivo",T172="Manual"),"25%",""))))))</f>
        <v>40%</v>
      </c>
      <c r="V172" s="78" t="s">
        <v>157</v>
      </c>
      <c r="W172" s="78" t="s">
        <v>159</v>
      </c>
      <c r="X172" s="78" t="s">
        <v>195</v>
      </c>
      <c r="Y172" s="110">
        <f>IFERROR(IF(R172="Probabilidad",(J172-(+J172*U172)),IF(R172="Impacto",J172,"")),"")</f>
        <v>0.12</v>
      </c>
      <c r="Z172" s="111" t="str">
        <f t="shared" si="194"/>
        <v>Rara vez</v>
      </c>
      <c r="AA172" s="109">
        <f>+Y172</f>
        <v>0.12</v>
      </c>
      <c r="AB172" s="111" t="str">
        <f t="shared" si="196"/>
        <v>Catastrófico</v>
      </c>
      <c r="AC172" s="109">
        <f>IFERROR(IF(R172="Impacto",(N172-(+N172*U172)),IF(R172="Probabilidad",N172,"")),"")</f>
        <v>1</v>
      </c>
      <c r="AD172" s="77" t="str">
        <f t="shared" si="197"/>
        <v>Extremo</v>
      </c>
      <c r="AE172" s="78"/>
      <c r="AF172" s="105"/>
      <c r="AG172" s="112"/>
      <c r="AH172" s="113"/>
      <c r="AI172" s="113"/>
      <c r="AJ172" s="105"/>
      <c r="AK172" s="114"/>
      <c r="AL172" s="140">
        <v>44917</v>
      </c>
      <c r="AM172" s="135" t="s">
        <v>222</v>
      </c>
      <c r="AN172" s="134" t="str">
        <f>+O172</f>
        <v>Extremo</v>
      </c>
      <c r="AO172" s="393" t="str">
        <f>+AD176</f>
        <v>Extremo</v>
      </c>
    </row>
    <row r="173" spans="2:41" ht="134.25" customHeight="1" x14ac:dyDescent="0.2">
      <c r="B173" s="141"/>
      <c r="C173" s="142"/>
      <c r="D173" s="136"/>
      <c r="E173" s="142"/>
      <c r="F173" s="171"/>
      <c r="G173" s="136"/>
      <c r="H173" s="142"/>
      <c r="I173" s="139"/>
      <c r="J173" s="138"/>
      <c r="K173" s="137"/>
      <c r="L173" s="138">
        <f>IF(NOT(ISERROR(MATCH(K173,_xlfn.ANCHORARRAY(#REF!),0))),#REF!&amp;"Por favor no seleccionar los criterios de impacto",K173)</f>
        <v>0</v>
      </c>
      <c r="M173" s="139"/>
      <c r="N173" s="138"/>
      <c r="O173" s="134"/>
      <c r="P173" s="132">
        <v>2</v>
      </c>
      <c r="Q173" s="115" t="s">
        <v>469</v>
      </c>
      <c r="R173" s="133" t="str">
        <f>IF(OR(S173="Preventivo",S173="Detectivo"),"Probabilidad",IF(S173="Correctivo","Impacto",""))</f>
        <v>Probabilidad</v>
      </c>
      <c r="S173" s="78" t="s">
        <v>144</v>
      </c>
      <c r="T173" s="78" t="s">
        <v>152</v>
      </c>
      <c r="U173" s="109" t="str">
        <f t="shared" ref="U173:U177" si="230">IF(AND(S173="Preventivo",T173="Automático"),"50%",IF(AND(S173="Preventivo",T173="Manual"),"40%",IF(AND(S173="Detectivo",T173="Automático"),"40%",IF(AND(S173="Detectivo",T173="Manual"),"30%",IF(AND(S173="Correctivo",T173="Automático"),"35%",IF(AND(S173="Correctivo",T173="Manual"),"25%",""))))))</f>
        <v>40%</v>
      </c>
      <c r="V173" s="78" t="s">
        <v>157</v>
      </c>
      <c r="W173" s="78" t="s">
        <v>159</v>
      </c>
      <c r="X173" s="78" t="s">
        <v>163</v>
      </c>
      <c r="Y173" s="110">
        <f>IFERROR(IF(AND(R172="Probabilidad",R173="Probabilidad"),(AA172-(+AA172*U173)),IF(R173="Probabilidad",(J172-(+J172*U173)),IF(R173="Impacto",AA172,""))),"")</f>
        <v>7.1999999999999995E-2</v>
      </c>
      <c r="Z173" s="111" t="str">
        <f t="shared" si="194"/>
        <v>Rara vez</v>
      </c>
      <c r="AA173" s="109">
        <f t="shared" ref="AA173:AA177" si="231">+Y173</f>
        <v>7.1999999999999995E-2</v>
      </c>
      <c r="AB173" s="111" t="str">
        <f t="shared" si="196"/>
        <v>Catastrófico</v>
      </c>
      <c r="AC173" s="109">
        <f>IFERROR(IF(AND(R172="Impacto",R173="Impacto"),(AC172-(+AC172*U173)),IF(R173="Impacto",(N172-(+N172*U173)),IF(R173="Probabilidad",AC172,""))),"")</f>
        <v>1</v>
      </c>
      <c r="AD173" s="77" t="str">
        <f t="shared" si="197"/>
        <v>Extremo</v>
      </c>
      <c r="AE173" s="78"/>
      <c r="AF173" s="105"/>
      <c r="AG173" s="112"/>
      <c r="AH173" s="113"/>
      <c r="AI173" s="113"/>
      <c r="AJ173" s="105"/>
      <c r="AK173" s="114"/>
      <c r="AL173" s="170"/>
      <c r="AM173" s="136"/>
      <c r="AN173" s="134"/>
      <c r="AO173" s="393"/>
    </row>
    <row r="174" spans="2:41" ht="177.75" customHeight="1" x14ac:dyDescent="0.2">
      <c r="B174" s="141"/>
      <c r="C174" s="142"/>
      <c r="D174" s="136"/>
      <c r="E174" s="142"/>
      <c r="F174" s="171"/>
      <c r="G174" s="136"/>
      <c r="H174" s="142"/>
      <c r="I174" s="139"/>
      <c r="J174" s="138"/>
      <c r="K174" s="137"/>
      <c r="L174" s="138">
        <f>IF(NOT(ISERROR(MATCH(K174,_xlfn.ANCHORARRAY(#REF!),0))),#REF!&amp;"Por favor no seleccionar los criterios de impacto",K174)</f>
        <v>0</v>
      </c>
      <c r="M174" s="139"/>
      <c r="N174" s="138"/>
      <c r="O174" s="134"/>
      <c r="P174" s="132">
        <v>3</v>
      </c>
      <c r="Q174" s="115" t="s">
        <v>470</v>
      </c>
      <c r="R174" s="133" t="str">
        <f>IF(OR(S174="Preventivo",S174="Detectivo"),"Probabilidad",IF(S174="Correctivo","Impacto",""))</f>
        <v>Probabilidad</v>
      </c>
      <c r="S174" s="78" t="s">
        <v>144</v>
      </c>
      <c r="T174" s="78" t="s">
        <v>152</v>
      </c>
      <c r="U174" s="109" t="str">
        <f t="shared" si="230"/>
        <v>40%</v>
      </c>
      <c r="V174" s="78" t="s">
        <v>155</v>
      </c>
      <c r="W174" s="78" t="s">
        <v>159</v>
      </c>
      <c r="X174" s="78" t="s">
        <v>308</v>
      </c>
      <c r="Y174" s="110">
        <f>IFERROR(IF(AND(R173="Probabilidad",R174="Probabilidad"),(AA173-(+AA173*U174)),IF(AND(R173="Impacto",R174="Probabilidad"),(AA172-(+AA172*U174)),IF(R174="Impacto",AA173,""))),"")</f>
        <v>4.3199999999999995E-2</v>
      </c>
      <c r="Z174" s="111" t="str">
        <f t="shared" si="194"/>
        <v>Rara vez</v>
      </c>
      <c r="AA174" s="109">
        <f t="shared" si="231"/>
        <v>4.3199999999999995E-2</v>
      </c>
      <c r="AB174" s="111" t="str">
        <f t="shared" si="196"/>
        <v>Catastrófico</v>
      </c>
      <c r="AC174" s="109">
        <f>IFERROR(IF(AND(R173="Impacto",R174="Impacto"),(AC173-(+AC173*U174)),IF(AND(R173="Probabilidad",R174="Impacto"),(AC172-(+AC172*U174)),IF(R174="Probabilidad",AC173,""))),"")</f>
        <v>1</v>
      </c>
      <c r="AD174" s="77" t="str">
        <f t="shared" si="197"/>
        <v>Extremo</v>
      </c>
      <c r="AE174" s="78"/>
      <c r="AF174" s="105"/>
      <c r="AG174" s="112"/>
      <c r="AH174" s="113"/>
      <c r="AI174" s="113"/>
      <c r="AJ174" s="105"/>
      <c r="AK174" s="114"/>
      <c r="AL174" s="170"/>
      <c r="AM174" s="136"/>
      <c r="AN174" s="134"/>
      <c r="AO174" s="393"/>
    </row>
    <row r="175" spans="2:41" ht="155.25" customHeight="1" x14ac:dyDescent="0.2">
      <c r="B175" s="141"/>
      <c r="C175" s="142"/>
      <c r="D175" s="136"/>
      <c r="E175" s="142"/>
      <c r="F175" s="171"/>
      <c r="G175" s="136"/>
      <c r="H175" s="142"/>
      <c r="I175" s="139"/>
      <c r="J175" s="138"/>
      <c r="K175" s="137"/>
      <c r="L175" s="138">
        <f>IF(NOT(ISERROR(MATCH(K175,_xlfn.ANCHORARRAY(#REF!),0))),#REF!&amp;"Por favor no seleccionar los criterios de impacto",K175)</f>
        <v>0</v>
      </c>
      <c r="M175" s="139"/>
      <c r="N175" s="138"/>
      <c r="O175" s="134"/>
      <c r="P175" s="132">
        <v>4</v>
      </c>
      <c r="Q175" s="115" t="s">
        <v>471</v>
      </c>
      <c r="R175" s="133" t="str">
        <f t="shared" ref="R175:R177" si="232">IF(OR(S175="Preventivo",S175="Detectivo"),"Probabilidad",IF(S175="Correctivo","Impacto",""))</f>
        <v>Probabilidad</v>
      </c>
      <c r="S175" s="78" t="s">
        <v>146</v>
      </c>
      <c r="T175" s="78" t="s">
        <v>152</v>
      </c>
      <c r="U175" s="109" t="str">
        <f t="shared" si="230"/>
        <v>30%</v>
      </c>
      <c r="V175" s="78" t="s">
        <v>155</v>
      </c>
      <c r="W175" s="78" t="s">
        <v>159</v>
      </c>
      <c r="X175" s="78" t="s">
        <v>308</v>
      </c>
      <c r="Y175" s="110">
        <f t="shared" ref="Y175:Y177" si="233">IFERROR(IF(AND(R174="Probabilidad",R175="Probabilidad"),(AA174-(+AA174*U175)),IF(AND(R174="Impacto",R175="Probabilidad"),(AA173-(+AA173*U175)),IF(R175="Impacto",AA174,""))),"")</f>
        <v>3.0239999999999996E-2</v>
      </c>
      <c r="Z175" s="111" t="str">
        <f t="shared" si="194"/>
        <v>Rara vez</v>
      </c>
      <c r="AA175" s="109">
        <f t="shared" si="231"/>
        <v>3.0239999999999996E-2</v>
      </c>
      <c r="AB175" s="111" t="str">
        <f t="shared" si="196"/>
        <v>Catastrófico</v>
      </c>
      <c r="AC175" s="109">
        <f t="shared" ref="AC175:AC177" si="234">IFERROR(IF(AND(R174="Impacto",R175="Impacto"),(AC174-(+AC174*U175)),IF(AND(R174="Probabilidad",R175="Impacto"),(AC173-(+AC173*U175)),IF(R175="Probabilidad",AC174,""))),"")</f>
        <v>1</v>
      </c>
      <c r="AD175" s="77" t="str">
        <f t="shared" si="197"/>
        <v>Extremo</v>
      </c>
      <c r="AE175" s="78"/>
      <c r="AF175" s="105"/>
      <c r="AG175" s="112"/>
      <c r="AH175" s="113"/>
      <c r="AI175" s="113"/>
      <c r="AJ175" s="105"/>
      <c r="AK175" s="114"/>
      <c r="AL175" s="170"/>
      <c r="AM175" s="136"/>
      <c r="AN175" s="134"/>
      <c r="AO175" s="393"/>
    </row>
    <row r="176" spans="2:41" ht="160.5" customHeight="1" x14ac:dyDescent="0.2">
      <c r="B176" s="141"/>
      <c r="C176" s="142"/>
      <c r="D176" s="136"/>
      <c r="E176" s="142"/>
      <c r="F176" s="171"/>
      <c r="G176" s="136"/>
      <c r="H176" s="142"/>
      <c r="I176" s="139"/>
      <c r="J176" s="138"/>
      <c r="K176" s="137"/>
      <c r="L176" s="138">
        <f>IF(NOT(ISERROR(MATCH(K176,_xlfn.ANCHORARRAY(#REF!),0))),#REF!&amp;"Por favor no seleccionar los criterios de impacto",K176)</f>
        <v>0</v>
      </c>
      <c r="M176" s="139"/>
      <c r="N176" s="138"/>
      <c r="O176" s="134"/>
      <c r="P176" s="132">
        <v>5</v>
      </c>
      <c r="Q176" s="107" t="s">
        <v>447</v>
      </c>
      <c r="R176" s="133" t="str">
        <f t="shared" si="232"/>
        <v>Probabilidad</v>
      </c>
      <c r="S176" s="78" t="s">
        <v>146</v>
      </c>
      <c r="T176" s="78" t="s">
        <v>152</v>
      </c>
      <c r="U176" s="109" t="str">
        <f t="shared" si="230"/>
        <v>30%</v>
      </c>
      <c r="V176" s="78" t="s">
        <v>155</v>
      </c>
      <c r="W176" s="78" t="s">
        <v>159</v>
      </c>
      <c r="X176" s="78" t="s">
        <v>163</v>
      </c>
      <c r="Y176" s="110">
        <f t="shared" si="233"/>
        <v>2.1167999999999999E-2</v>
      </c>
      <c r="Z176" s="111" t="str">
        <f t="shared" si="194"/>
        <v>Rara vez</v>
      </c>
      <c r="AA176" s="109">
        <f t="shared" si="231"/>
        <v>2.1167999999999999E-2</v>
      </c>
      <c r="AB176" s="111" t="str">
        <f t="shared" si="196"/>
        <v>Catastrófico</v>
      </c>
      <c r="AC176" s="109">
        <f t="shared" si="234"/>
        <v>1</v>
      </c>
      <c r="AD176" s="77" t="str">
        <f t="shared" si="197"/>
        <v>Extremo</v>
      </c>
      <c r="AE176" s="78" t="s">
        <v>173</v>
      </c>
      <c r="AF176" s="105" t="s">
        <v>448</v>
      </c>
      <c r="AG176" s="118" t="s">
        <v>472</v>
      </c>
      <c r="AH176" s="118">
        <v>45657</v>
      </c>
      <c r="AI176" s="118"/>
      <c r="AJ176" s="105"/>
      <c r="AK176" s="114" t="s">
        <v>176</v>
      </c>
      <c r="AL176" s="170"/>
      <c r="AM176" s="136"/>
      <c r="AN176" s="134"/>
      <c r="AO176" s="393"/>
    </row>
    <row r="177" spans="2:41" x14ac:dyDescent="0.2">
      <c r="B177" s="141"/>
      <c r="C177" s="142"/>
      <c r="D177" s="136"/>
      <c r="E177" s="142"/>
      <c r="F177" s="171"/>
      <c r="G177" s="136"/>
      <c r="H177" s="142"/>
      <c r="I177" s="139"/>
      <c r="J177" s="138"/>
      <c r="K177" s="137"/>
      <c r="L177" s="138">
        <f>IF(NOT(ISERROR(MATCH(K177,_xlfn.ANCHORARRAY(#REF!),0))),#REF!&amp;"Por favor no seleccionar los criterios de impacto",K177)</f>
        <v>0</v>
      </c>
      <c r="M177" s="139"/>
      <c r="N177" s="138"/>
      <c r="O177" s="134"/>
      <c r="P177" s="132">
        <v>6</v>
      </c>
      <c r="Q177" s="115"/>
      <c r="R177" s="133" t="str">
        <f t="shared" si="232"/>
        <v/>
      </c>
      <c r="S177" s="78"/>
      <c r="T177" s="78"/>
      <c r="U177" s="109" t="str">
        <f t="shared" si="230"/>
        <v/>
      </c>
      <c r="V177" s="78"/>
      <c r="W177" s="78"/>
      <c r="X177" s="78"/>
      <c r="Y177" s="110" t="str">
        <f t="shared" si="233"/>
        <v/>
      </c>
      <c r="Z177" s="111" t="str">
        <f t="shared" si="194"/>
        <v/>
      </c>
      <c r="AA177" s="109" t="str">
        <f t="shared" si="231"/>
        <v/>
      </c>
      <c r="AB177" s="111" t="str">
        <f t="shared" si="196"/>
        <v/>
      </c>
      <c r="AC177" s="109" t="str">
        <f t="shared" si="234"/>
        <v/>
      </c>
      <c r="AD177" s="77" t="str">
        <f t="shared" si="197"/>
        <v/>
      </c>
      <c r="AE177" s="78"/>
      <c r="AF177" s="105"/>
      <c r="AG177" s="112"/>
      <c r="AH177" s="113"/>
      <c r="AI177" s="113"/>
      <c r="AJ177" s="105"/>
      <c r="AK177" s="114"/>
      <c r="AL177" s="170"/>
      <c r="AM177" s="136"/>
      <c r="AN177" s="134"/>
      <c r="AO177" s="393"/>
    </row>
    <row r="178" spans="2:41" ht="174.75" customHeight="1" x14ac:dyDescent="0.2">
      <c r="B178" s="141" t="s">
        <v>452</v>
      </c>
      <c r="C178" s="142" t="s">
        <v>426</v>
      </c>
      <c r="D178" s="142" t="s">
        <v>453</v>
      </c>
      <c r="E178" s="142" t="s">
        <v>231</v>
      </c>
      <c r="F178" s="142" t="s">
        <v>454</v>
      </c>
      <c r="G178" s="136" t="s">
        <v>301</v>
      </c>
      <c r="H178" s="142" t="s">
        <v>61</v>
      </c>
      <c r="I178" s="139" t="str">
        <f t="shared" ref="I178" si="235">IF(H178&lt;=0,"",IF(H178="No se ha presentado en los últimos 5 años","Rara vez",IF(H178="Al menos 1 vez en los últimos 5 años","Improbable",IF(H178="Al menos 1 vez en los últimos 2 años","Posible",IF(H178="Al menos 1 vez en el último año","Probable",IF(H178="Más de 1 vez al año","Casi Seguro"))))))</f>
        <v>Rara vez</v>
      </c>
      <c r="J178" s="138">
        <f t="shared" ref="J178" si="236">IF(I178="","",IF(I178="Rara vez",0.2,IF(I178="Improbable",0.4,IF(I178="Posible",0.6,IF(I178="Probable",0.8,IF(I178="Casi Seguro",1,))))))</f>
        <v>0.2</v>
      </c>
      <c r="K178" s="137" t="s">
        <v>82</v>
      </c>
      <c r="L178" s="138" t="str">
        <f>IF(NOT(ISERROR(MATCH(K178,'[16]Tabla Impacto'!$B$220:$B$222,0))),'[16]Tabla Impacto'!$F$222&amp;"Por favor no seleccionar los criterios de impacto(Afectación Económica o presupuestal y Pérdida Reputacional)",K178)</f>
        <v xml:space="preserve">Responder afirmativamente de DOCE a DIECINUEVE </v>
      </c>
      <c r="M178" s="139" t="str">
        <f>IF(OR(L178='[16]Tabla Impacto'!$C$5),"Moderado",IF(OR(L178='[16]Tabla Impacto'!$C$6),"Mayor",IF(OR(L178='[16]Tabla Impacto'!$C$7),"Catastrófico","")))</f>
        <v>Catastrófico</v>
      </c>
      <c r="N178" s="138">
        <f>IF(M178="","",IF(M178="Leve",0.2,IF(M178="Menor",0.4,IF(M178="Moderado",0.6,IF(M178="Mayor",0.8,IF(M178="Catastrófico",1,))))))</f>
        <v>1</v>
      </c>
      <c r="O178" s="134" t="str">
        <f t="shared" ref="O178" si="237">IF(OR(AND(I178="Rara vez",M178="Leve"),AND(I178="Rara vez",M178="Menor"),AND(I178="Improbable",M178="Leve")),"Bajo",IF(OR(AND(I178="Rara vez",M178="Moderado"),AND(I178="Improbable",M178="Menor"),AND(I178="Improbable",M178="Moderado"),AND(I178="Posible",M178="Leve"),AND(I178="Posible",M178="Menor"),AND(I178="Posible",M178="Moderado"),AND(I178="Probable",M178="Leve"),AND(I178="Probable",M178="Menor")),"Moderado",IF(OR(AND(I178="Rara vez",M178="Mayor"),AND(I178="Improbable",M178="Mayor"),AND(I178="Posible",M178="Mayor"),AND(I178="Probable",M178="Moderado"),AND(I178="Probable",M178="Mayor"),AND(I178="Casi Seguro",M178="Leve"),AND(I178="Casi Seguro",M178="Menor"),AND(I178="Casi Seguro",M178="Moderado"),AND(I178="Casi Seguro",M178="Mayor")),"Alto",IF(OR(AND(I178="Rara vez",M178="Catastrófico"),AND(I178="Improbable",M178="Catastrófico"),AND(I178="Posible",M178="Catastrófico"),AND(I178="Probable",M178="Catastrófico"),AND(I178="Casi Seguro",M178="Catastrófico")),"Extremo",""))))</f>
        <v>Extremo</v>
      </c>
      <c r="P178" s="132">
        <v>1</v>
      </c>
      <c r="Q178" s="115" t="s">
        <v>479</v>
      </c>
      <c r="R178" s="133" t="str">
        <f>IF(OR(S178="Preventivo",S178="Detectivo"),"Probabilidad",IF(S178="Correctivo","Impacto",""))</f>
        <v>Probabilidad</v>
      </c>
      <c r="S178" s="78" t="s">
        <v>144</v>
      </c>
      <c r="T178" s="78" t="s">
        <v>152</v>
      </c>
      <c r="U178" s="109" t="str">
        <f>IF(AND(S178="Preventivo",T178="Automático"),"50%",IF(AND(S178="Preventivo",T178="Manual"),"40%",IF(AND(S178="Detectivo",T178="Automático"),"40%",IF(AND(S178="Detectivo",T178="Manual"),"30%",IF(AND(S178="Correctivo",T178="Automático"),"35%",IF(AND(S178="Correctivo",T178="Manual"),"25%",""))))))</f>
        <v>40%</v>
      </c>
      <c r="V178" s="78" t="s">
        <v>157</v>
      </c>
      <c r="W178" s="78" t="s">
        <v>159</v>
      </c>
      <c r="X178" s="78" t="s">
        <v>195</v>
      </c>
      <c r="Y178" s="110">
        <f>IFERROR(IF(R178="Probabilidad",(J178-(+J178*U178)),IF(R178="Impacto",J178,"")),"")</f>
        <v>0.12</v>
      </c>
      <c r="Z178" s="111" t="str">
        <f t="shared" si="194"/>
        <v>Rara vez</v>
      </c>
      <c r="AA178" s="109">
        <f>+Y178</f>
        <v>0.12</v>
      </c>
      <c r="AB178" s="111" t="str">
        <f t="shared" si="196"/>
        <v>Catastrófico</v>
      </c>
      <c r="AC178" s="109">
        <f>IFERROR(IF(R178="Impacto",(N178-(+N178*U178)),IF(R178="Probabilidad",N178,"")),"")</f>
        <v>1</v>
      </c>
      <c r="AD178" s="77" t="str">
        <f t="shared" si="197"/>
        <v>Extremo</v>
      </c>
      <c r="AE178" s="78"/>
      <c r="AF178" s="105"/>
      <c r="AG178" s="112"/>
      <c r="AH178" s="113"/>
      <c r="AI178" s="113"/>
      <c r="AJ178" s="105"/>
      <c r="AK178" s="114"/>
      <c r="AL178" s="140">
        <v>45525</v>
      </c>
      <c r="AM178" s="135" t="s">
        <v>222</v>
      </c>
      <c r="AN178" s="134" t="str">
        <f>+O178</f>
        <v>Extremo</v>
      </c>
      <c r="AO178" s="393" t="str">
        <f>+AD181</f>
        <v>Alto</v>
      </c>
    </row>
    <row r="179" spans="2:41" ht="90" customHeight="1" x14ac:dyDescent="0.2">
      <c r="B179" s="141"/>
      <c r="C179" s="142"/>
      <c r="D179" s="142"/>
      <c r="E179" s="142"/>
      <c r="F179" s="142"/>
      <c r="G179" s="136"/>
      <c r="H179" s="142"/>
      <c r="I179" s="139"/>
      <c r="J179" s="138"/>
      <c r="K179" s="137"/>
      <c r="L179" s="138">
        <f>IF(NOT(ISERROR(MATCH(K179,_xlfn.ANCHORARRAY(#REF!),0))),#REF!&amp;"Por favor no seleccionar los criterios de impacto",K179)</f>
        <v>0</v>
      </c>
      <c r="M179" s="139"/>
      <c r="N179" s="138"/>
      <c r="O179" s="134"/>
      <c r="P179" s="132">
        <v>2</v>
      </c>
      <c r="Q179" s="115" t="s">
        <v>489</v>
      </c>
      <c r="R179" s="133" t="str">
        <f>IF(OR(S179="Preventivo",S179="Detectivo"),"Probabilidad",IF(S179="Correctivo","Impacto",""))</f>
        <v>Probabilidad</v>
      </c>
      <c r="S179" s="78" t="s">
        <v>146</v>
      </c>
      <c r="T179" s="78" t="s">
        <v>152</v>
      </c>
      <c r="U179" s="109" t="str">
        <f t="shared" ref="U179:U183" si="238">IF(AND(S179="Preventivo",T179="Automático"),"50%",IF(AND(S179="Preventivo",T179="Manual"),"40%",IF(AND(S179="Detectivo",T179="Automático"),"40%",IF(AND(S179="Detectivo",T179="Manual"),"30%",IF(AND(S179="Correctivo",T179="Automático"),"35%",IF(AND(S179="Correctivo",T179="Manual"),"25%",""))))))</f>
        <v>30%</v>
      </c>
      <c r="V179" s="78" t="s">
        <v>155</v>
      </c>
      <c r="W179" s="78" t="s">
        <v>159</v>
      </c>
      <c r="X179" s="78" t="s">
        <v>165</v>
      </c>
      <c r="Y179" s="110">
        <f>IFERROR(IF(AND(R178="Probabilidad",R179="Probabilidad"),(AA178-(+AA178*U179)),IF(R179="Probabilidad",(J178-(+J178*U179)),IF(R179="Impacto",AA178,""))),"")</f>
        <v>8.3999999999999991E-2</v>
      </c>
      <c r="Z179" s="111" t="str">
        <f t="shared" si="194"/>
        <v>Rara vez</v>
      </c>
      <c r="AA179" s="109">
        <f t="shared" ref="AA179:AA183" si="239">+Y179</f>
        <v>8.3999999999999991E-2</v>
      </c>
      <c r="AB179" s="111" t="str">
        <f t="shared" si="196"/>
        <v>Catastrófico</v>
      </c>
      <c r="AC179" s="109">
        <f>IFERROR(IF(AND(R178="Impacto",R179="Impacto"),(AC178-(+AC178*U179)),IF(R179="Impacto",(N178-(+N178*U179)),IF(R179="Probabilidad",AC178,""))),"")</f>
        <v>1</v>
      </c>
      <c r="AD179" s="77" t="str">
        <f t="shared" si="197"/>
        <v>Extremo</v>
      </c>
      <c r="AE179" s="78"/>
      <c r="AF179" s="105"/>
      <c r="AG179" s="105"/>
      <c r="AH179" s="113"/>
      <c r="AI179" s="113"/>
      <c r="AJ179" s="105"/>
      <c r="AK179" s="114"/>
      <c r="AL179" s="140"/>
      <c r="AM179" s="136"/>
      <c r="AN179" s="134"/>
      <c r="AO179" s="393"/>
    </row>
    <row r="180" spans="2:41" ht="102" x14ac:dyDescent="0.2">
      <c r="B180" s="141"/>
      <c r="C180" s="142"/>
      <c r="D180" s="142"/>
      <c r="E180" s="142"/>
      <c r="F180" s="142"/>
      <c r="G180" s="136"/>
      <c r="H180" s="142"/>
      <c r="I180" s="139"/>
      <c r="J180" s="138"/>
      <c r="K180" s="137"/>
      <c r="L180" s="138">
        <f>IF(NOT(ISERROR(MATCH(K180,_xlfn.ANCHORARRAY(#REF!),0))),#REF!&amp;"Por favor no seleccionar los criterios de impacto",K180)</f>
        <v>0</v>
      </c>
      <c r="M180" s="139"/>
      <c r="N180" s="138"/>
      <c r="O180" s="134"/>
      <c r="P180" s="132">
        <v>3</v>
      </c>
      <c r="Q180" s="115" t="s">
        <v>456</v>
      </c>
      <c r="R180" s="133" t="str">
        <f>IF(OR(S180="Preventivo",S180="Detectivo"),"Probabilidad",IF(S180="Correctivo","Impacto",""))</f>
        <v>Probabilidad</v>
      </c>
      <c r="S180" s="78" t="s">
        <v>146</v>
      </c>
      <c r="T180" s="78" t="s">
        <v>152</v>
      </c>
      <c r="U180" s="109" t="str">
        <f t="shared" si="238"/>
        <v>30%</v>
      </c>
      <c r="V180" s="78" t="s">
        <v>155</v>
      </c>
      <c r="W180" s="78" t="s">
        <v>159</v>
      </c>
      <c r="X180" s="78" t="s">
        <v>163</v>
      </c>
      <c r="Y180" s="110">
        <f>IFERROR(IF(AND(R179="Probabilidad",R180="Probabilidad"),(AA179-(+AA179*U180)),IF(AND(R179="Impacto",R180="Probabilidad"),(AA178-(+AA178*U180)),IF(R180="Impacto",AA179,""))),"")</f>
        <v>5.8799999999999991E-2</v>
      </c>
      <c r="Z180" s="111" t="str">
        <f t="shared" si="194"/>
        <v>Rara vez</v>
      </c>
      <c r="AA180" s="109">
        <f t="shared" si="239"/>
        <v>5.8799999999999991E-2</v>
      </c>
      <c r="AB180" s="111" t="str">
        <f t="shared" si="196"/>
        <v>Catastrófico</v>
      </c>
      <c r="AC180" s="109">
        <f>IFERROR(IF(AND(R179="Impacto",R180="Impacto"),(AC179-(+AC179*U180)),IF(AND(R179="Probabilidad",R180="Impacto"),(AC178-(+AC178*U180)),IF(R180="Probabilidad",AC179,""))),"")</f>
        <v>1</v>
      </c>
      <c r="AD180" s="77" t="str">
        <f t="shared" si="197"/>
        <v>Extremo</v>
      </c>
      <c r="AE180" s="78"/>
      <c r="AF180" s="105"/>
      <c r="AG180" s="112"/>
      <c r="AH180" s="113"/>
      <c r="AI180" s="113"/>
      <c r="AJ180" s="105"/>
      <c r="AK180" s="114"/>
      <c r="AL180" s="140"/>
      <c r="AM180" s="136"/>
      <c r="AN180" s="134"/>
      <c r="AO180" s="393"/>
    </row>
    <row r="181" spans="2:41" ht="99.75" x14ac:dyDescent="0.2">
      <c r="B181" s="141"/>
      <c r="C181" s="142"/>
      <c r="D181" s="142"/>
      <c r="E181" s="142"/>
      <c r="F181" s="142"/>
      <c r="G181" s="136"/>
      <c r="H181" s="142"/>
      <c r="I181" s="139"/>
      <c r="J181" s="138"/>
      <c r="K181" s="137"/>
      <c r="L181" s="138">
        <f>IF(NOT(ISERROR(MATCH(K181,_xlfn.ANCHORARRAY(#REF!),0))),#REF!&amp;"Por favor no seleccionar los criterios de impacto",K181)</f>
        <v>0</v>
      </c>
      <c r="M181" s="139"/>
      <c r="N181" s="138"/>
      <c r="O181" s="134"/>
      <c r="P181" s="132">
        <v>4</v>
      </c>
      <c r="Q181" s="115" t="s">
        <v>457</v>
      </c>
      <c r="R181" s="133" t="str">
        <f t="shared" ref="R181:R183" si="240">IF(OR(S181="Preventivo",S181="Detectivo"),"Probabilidad",IF(S181="Correctivo","Impacto",""))</f>
        <v>Impacto</v>
      </c>
      <c r="S181" s="78" t="s">
        <v>148</v>
      </c>
      <c r="T181" s="78" t="s">
        <v>152</v>
      </c>
      <c r="U181" s="109" t="str">
        <f t="shared" si="238"/>
        <v>25%</v>
      </c>
      <c r="V181" s="78" t="s">
        <v>155</v>
      </c>
      <c r="W181" s="78" t="s">
        <v>159</v>
      </c>
      <c r="X181" s="78" t="s">
        <v>163</v>
      </c>
      <c r="Y181" s="110">
        <f t="shared" ref="Y181:Y183" si="241">IFERROR(IF(AND(R180="Probabilidad",R181="Probabilidad"),(AA180-(+AA180*U181)),IF(AND(R180="Impacto",R181="Probabilidad"),(AA179-(+AA179*U181)),IF(R181="Impacto",AA180,""))),"")</f>
        <v>5.8799999999999991E-2</v>
      </c>
      <c r="Z181" s="111" t="str">
        <f t="shared" si="194"/>
        <v>Rara vez</v>
      </c>
      <c r="AA181" s="109">
        <f t="shared" si="239"/>
        <v>5.8799999999999991E-2</v>
      </c>
      <c r="AB181" s="111" t="str">
        <f t="shared" si="196"/>
        <v>Mayor</v>
      </c>
      <c r="AC181" s="109">
        <f t="shared" ref="AC181:AC183" si="242">IFERROR(IF(AND(R180="Impacto",R181="Impacto"),(AC180-(+AC180*U181)),IF(AND(R180="Probabilidad",R181="Impacto"),(AC179-(+AC179*U181)),IF(R181="Probabilidad",AC180,""))),"")</f>
        <v>0.75</v>
      </c>
      <c r="AD181" s="77" t="str">
        <f t="shared" si="197"/>
        <v>Alto</v>
      </c>
      <c r="AE181" s="78" t="s">
        <v>173</v>
      </c>
      <c r="AF181" s="105" t="s">
        <v>455</v>
      </c>
      <c r="AG181" s="118" t="s">
        <v>475</v>
      </c>
      <c r="AH181" s="113">
        <v>45596</v>
      </c>
      <c r="AI181" s="113"/>
      <c r="AJ181" s="105"/>
      <c r="AK181" s="114" t="s">
        <v>176</v>
      </c>
      <c r="AL181" s="140"/>
      <c r="AM181" s="136"/>
      <c r="AN181" s="134"/>
      <c r="AO181" s="393"/>
    </row>
    <row r="182" spans="2:41" x14ac:dyDescent="0.2">
      <c r="B182" s="141"/>
      <c r="C182" s="142"/>
      <c r="D182" s="142"/>
      <c r="E182" s="142"/>
      <c r="F182" s="142"/>
      <c r="G182" s="136"/>
      <c r="H182" s="142"/>
      <c r="I182" s="139"/>
      <c r="J182" s="138"/>
      <c r="K182" s="137"/>
      <c r="L182" s="138">
        <f>IF(NOT(ISERROR(MATCH(K182,_xlfn.ANCHORARRAY(#REF!),0))),#REF!&amp;"Por favor no seleccionar los criterios de impacto",K182)</f>
        <v>0</v>
      </c>
      <c r="M182" s="139"/>
      <c r="N182" s="138"/>
      <c r="O182" s="134"/>
      <c r="P182" s="132">
        <v>5</v>
      </c>
      <c r="Q182" s="115"/>
      <c r="R182" s="133" t="str">
        <f t="shared" si="240"/>
        <v/>
      </c>
      <c r="S182" s="78"/>
      <c r="T182" s="78"/>
      <c r="U182" s="109" t="str">
        <f t="shared" si="238"/>
        <v/>
      </c>
      <c r="V182" s="78"/>
      <c r="W182" s="78"/>
      <c r="X182" s="78"/>
      <c r="Y182" s="110" t="str">
        <f t="shared" si="241"/>
        <v/>
      </c>
      <c r="Z182" s="111" t="str">
        <f t="shared" si="194"/>
        <v/>
      </c>
      <c r="AA182" s="109" t="str">
        <f t="shared" si="239"/>
        <v/>
      </c>
      <c r="AB182" s="111" t="str">
        <f t="shared" si="196"/>
        <v/>
      </c>
      <c r="AC182" s="109" t="str">
        <f t="shared" si="242"/>
        <v/>
      </c>
      <c r="AD182" s="77" t="str">
        <f t="shared" si="197"/>
        <v/>
      </c>
      <c r="AE182" s="78"/>
      <c r="AF182" s="105"/>
      <c r="AG182" s="112"/>
      <c r="AH182" s="113"/>
      <c r="AI182" s="113"/>
      <c r="AJ182" s="105"/>
      <c r="AK182" s="114"/>
      <c r="AL182" s="140"/>
      <c r="AM182" s="136"/>
      <c r="AN182" s="134"/>
      <c r="AO182" s="393"/>
    </row>
    <row r="183" spans="2:41" x14ac:dyDescent="0.2">
      <c r="B183" s="141"/>
      <c r="C183" s="142"/>
      <c r="D183" s="142"/>
      <c r="E183" s="142"/>
      <c r="F183" s="142"/>
      <c r="G183" s="136"/>
      <c r="H183" s="142"/>
      <c r="I183" s="139"/>
      <c r="J183" s="138"/>
      <c r="K183" s="137"/>
      <c r="L183" s="138">
        <f>IF(NOT(ISERROR(MATCH(K183,_xlfn.ANCHORARRAY(#REF!),0))),#REF!&amp;"Por favor no seleccionar los criterios de impacto",K183)</f>
        <v>0</v>
      </c>
      <c r="M183" s="139"/>
      <c r="N183" s="138"/>
      <c r="O183" s="134"/>
      <c r="P183" s="132">
        <v>6</v>
      </c>
      <c r="Q183" s="115"/>
      <c r="R183" s="133" t="str">
        <f t="shared" si="240"/>
        <v/>
      </c>
      <c r="S183" s="78"/>
      <c r="T183" s="78"/>
      <c r="U183" s="109" t="str">
        <f t="shared" si="238"/>
        <v/>
      </c>
      <c r="V183" s="78"/>
      <c r="W183" s="78"/>
      <c r="X183" s="78"/>
      <c r="Y183" s="110" t="str">
        <f t="shared" si="241"/>
        <v/>
      </c>
      <c r="Z183" s="111" t="str">
        <f t="shared" si="194"/>
        <v/>
      </c>
      <c r="AA183" s="109" t="str">
        <f t="shared" si="239"/>
        <v/>
      </c>
      <c r="AB183" s="111" t="str">
        <f t="shared" si="196"/>
        <v/>
      </c>
      <c r="AC183" s="109" t="str">
        <f t="shared" si="242"/>
        <v/>
      </c>
      <c r="AD183" s="77" t="str">
        <f t="shared" si="197"/>
        <v/>
      </c>
      <c r="AE183" s="78"/>
      <c r="AF183" s="105"/>
      <c r="AG183" s="112"/>
      <c r="AH183" s="113"/>
      <c r="AI183" s="113"/>
      <c r="AJ183" s="105"/>
      <c r="AK183" s="114"/>
      <c r="AL183" s="140"/>
      <c r="AM183" s="136"/>
      <c r="AN183" s="134"/>
      <c r="AO183" s="393"/>
    </row>
    <row r="184" spans="2:41" ht="49.5" customHeight="1" thickBot="1" x14ac:dyDescent="0.25">
      <c r="B184" s="381" t="s">
        <v>211</v>
      </c>
      <c r="C184" s="382"/>
      <c r="D184" s="382"/>
      <c r="E184" s="382"/>
      <c r="F184" s="382"/>
      <c r="G184" s="382"/>
      <c r="H184" s="382"/>
      <c r="I184" s="382"/>
      <c r="J184" s="382"/>
      <c r="K184" s="382"/>
      <c r="L184" s="382"/>
      <c r="M184" s="382"/>
      <c r="N184" s="382"/>
      <c r="O184" s="382"/>
      <c r="P184" s="382"/>
      <c r="Q184" s="382"/>
      <c r="R184" s="382"/>
      <c r="S184" s="382"/>
      <c r="T184" s="382"/>
      <c r="U184" s="382"/>
      <c r="V184" s="382"/>
      <c r="W184" s="382"/>
      <c r="X184" s="382"/>
      <c r="Y184" s="382"/>
      <c r="Z184" s="382"/>
      <c r="AA184" s="382"/>
      <c r="AB184" s="382"/>
      <c r="AC184" s="382"/>
      <c r="AD184" s="382"/>
      <c r="AE184" s="382"/>
      <c r="AF184" s="382"/>
      <c r="AG184" s="382"/>
      <c r="AH184" s="382"/>
      <c r="AI184" s="382"/>
      <c r="AJ184" s="382"/>
      <c r="AK184" s="382"/>
      <c r="AL184" s="382"/>
      <c r="AM184" s="382"/>
      <c r="AN184" s="382"/>
      <c r="AO184" s="383"/>
    </row>
    <row r="186" spans="2:41" ht="15" x14ac:dyDescent="0.2">
      <c r="B186" s="44"/>
      <c r="C186" s="49"/>
      <c r="D186" s="44"/>
      <c r="E186" s="44"/>
      <c r="F186" s="44"/>
    </row>
  </sheetData>
  <dataConsolidate/>
  <mergeCells count="567">
    <mergeCell ref="AN2:AO3"/>
    <mergeCell ref="B2:AM3"/>
    <mergeCell ref="AN110:AN115"/>
    <mergeCell ref="AO110:AO115"/>
    <mergeCell ref="B116:B121"/>
    <mergeCell ref="C116:C121"/>
    <mergeCell ref="D116:D121"/>
    <mergeCell ref="E116:E121"/>
    <mergeCell ref="F116:F121"/>
    <mergeCell ref="G116:G121"/>
    <mergeCell ref="H116:H121"/>
    <mergeCell ref="I116:I121"/>
    <mergeCell ref="J116:J121"/>
    <mergeCell ref="K116:K121"/>
    <mergeCell ref="L116:L121"/>
    <mergeCell ref="M116:M121"/>
    <mergeCell ref="N116:N121"/>
    <mergeCell ref="O116:O121"/>
    <mergeCell ref="AL116:AL121"/>
    <mergeCell ref="AM116:AM121"/>
    <mergeCell ref="AN116:AN121"/>
    <mergeCell ref="AO116:AO121"/>
    <mergeCell ref="K110:K115"/>
    <mergeCell ref="L110:L115"/>
    <mergeCell ref="M110:M115"/>
    <mergeCell ref="N110:N115"/>
    <mergeCell ref="O110:O115"/>
    <mergeCell ref="AL110:AL115"/>
    <mergeCell ref="AM110:AM115"/>
    <mergeCell ref="B110:B115"/>
    <mergeCell ref="C110:C115"/>
    <mergeCell ref="D110:D115"/>
    <mergeCell ref="E110:E115"/>
    <mergeCell ref="F110:F115"/>
    <mergeCell ref="G110:G115"/>
    <mergeCell ref="H110:H115"/>
    <mergeCell ref="I110:I115"/>
    <mergeCell ref="J110:J115"/>
    <mergeCell ref="AO98:AO103"/>
    <mergeCell ref="B104:B109"/>
    <mergeCell ref="C104:C109"/>
    <mergeCell ref="D104:D109"/>
    <mergeCell ref="E104:E109"/>
    <mergeCell ref="F104:F109"/>
    <mergeCell ref="G104:G109"/>
    <mergeCell ref="H104:H109"/>
    <mergeCell ref="I104:I109"/>
    <mergeCell ref="J104:J109"/>
    <mergeCell ref="K104:K109"/>
    <mergeCell ref="L104:L109"/>
    <mergeCell ref="M104:M109"/>
    <mergeCell ref="N104:N109"/>
    <mergeCell ref="O104:O109"/>
    <mergeCell ref="AL104:AL109"/>
    <mergeCell ref="AM104:AM109"/>
    <mergeCell ref="AN104:AN109"/>
    <mergeCell ref="AO104:AO109"/>
    <mergeCell ref="AM92:AM97"/>
    <mergeCell ref="AN92:AN97"/>
    <mergeCell ref="AO92:AO97"/>
    <mergeCell ref="B98:B103"/>
    <mergeCell ref="C98:C103"/>
    <mergeCell ref="D98:D103"/>
    <mergeCell ref="E98:E103"/>
    <mergeCell ref="F98:F103"/>
    <mergeCell ref="G98:G103"/>
    <mergeCell ref="H98:H103"/>
    <mergeCell ref="I98:I103"/>
    <mergeCell ref="J98:J103"/>
    <mergeCell ref="K98:K103"/>
    <mergeCell ref="L98:L103"/>
    <mergeCell ref="M98:M103"/>
    <mergeCell ref="N98:N103"/>
    <mergeCell ref="O98:O103"/>
    <mergeCell ref="AL98:AL103"/>
    <mergeCell ref="AM98:AM103"/>
    <mergeCell ref="AN98:AN103"/>
    <mergeCell ref="I92:I97"/>
    <mergeCell ref="J92:J97"/>
    <mergeCell ref="K92:K97"/>
    <mergeCell ref="L92:L97"/>
    <mergeCell ref="M92:M97"/>
    <mergeCell ref="N92:N97"/>
    <mergeCell ref="O92:O97"/>
    <mergeCell ref="AL92:AL97"/>
    <mergeCell ref="B184:AO184"/>
    <mergeCell ref="B4:AO4"/>
    <mergeCell ref="AL50:AL55"/>
    <mergeCell ref="AM50:AM55"/>
    <mergeCell ref="AN50:AN55"/>
    <mergeCell ref="AO50:AO55"/>
    <mergeCell ref="AL56:AL61"/>
    <mergeCell ref="AM56:AM61"/>
    <mergeCell ref="AN56:AN61"/>
    <mergeCell ref="AO56:AO61"/>
    <mergeCell ref="B92:B97"/>
    <mergeCell ref="C92:C97"/>
    <mergeCell ref="D92:D97"/>
    <mergeCell ref="E92:E97"/>
    <mergeCell ref="F92:F97"/>
    <mergeCell ref="G92:G97"/>
    <mergeCell ref="H92:H97"/>
    <mergeCell ref="AL38:AL43"/>
    <mergeCell ref="AM38:AM43"/>
    <mergeCell ref="AN38:AN43"/>
    <mergeCell ref="AO38:AO43"/>
    <mergeCell ref="AL44:AL49"/>
    <mergeCell ref="AM44:AM49"/>
    <mergeCell ref="AN44:AN49"/>
    <mergeCell ref="AO44:AO49"/>
    <mergeCell ref="AL26:AL31"/>
    <mergeCell ref="AM26:AM31"/>
    <mergeCell ref="AN26:AN31"/>
    <mergeCell ref="AO26:AO31"/>
    <mergeCell ref="AL32:AL37"/>
    <mergeCell ref="AM32:AM37"/>
    <mergeCell ref="AN32:AN37"/>
    <mergeCell ref="AO32:AO37"/>
    <mergeCell ref="AO14:AO19"/>
    <mergeCell ref="AL20:AL25"/>
    <mergeCell ref="AM20:AM25"/>
    <mergeCell ref="AN20:AN25"/>
    <mergeCell ref="AO20:AO25"/>
    <mergeCell ref="AL14:AL19"/>
    <mergeCell ref="K56:K61"/>
    <mergeCell ref="L56:L61"/>
    <mergeCell ref="M56:M61"/>
    <mergeCell ref="H56:H61"/>
    <mergeCell ref="I56:I61"/>
    <mergeCell ref="J56:J61"/>
    <mergeCell ref="AL5:AO5"/>
    <mergeCell ref="AL6:AL7"/>
    <mergeCell ref="AM6:AM7"/>
    <mergeCell ref="AN6:AN7"/>
    <mergeCell ref="AO6:AO7"/>
    <mergeCell ref="AM8:AM13"/>
    <mergeCell ref="AN8:AN13"/>
    <mergeCell ref="AO8:AO13"/>
    <mergeCell ref="AM14:AM19"/>
    <mergeCell ref="AN14:AN19"/>
    <mergeCell ref="H5:O5"/>
    <mergeCell ref="P5:X5"/>
    <mergeCell ref="Y5:AE5"/>
    <mergeCell ref="AF5:AK5"/>
    <mergeCell ref="N56:N61"/>
    <mergeCell ref="O56:O61"/>
    <mergeCell ref="O44:O49"/>
    <mergeCell ref="H50:H55"/>
    <mergeCell ref="I50:I55"/>
    <mergeCell ref="J50:J55"/>
    <mergeCell ref="K50:K55"/>
    <mergeCell ref="H44:H49"/>
    <mergeCell ref="I44:I49"/>
    <mergeCell ref="J44:J49"/>
    <mergeCell ref="L50:L55"/>
    <mergeCell ref="M50:M55"/>
    <mergeCell ref="N50:N55"/>
    <mergeCell ref="O50:O55"/>
    <mergeCell ref="J38:J43"/>
    <mergeCell ref="L32:L37"/>
    <mergeCell ref="M32:M37"/>
    <mergeCell ref="N32:N37"/>
    <mergeCell ref="O32:O37"/>
    <mergeCell ref="N38:N43"/>
    <mergeCell ref="O38:O43"/>
    <mergeCell ref="K44:K49"/>
    <mergeCell ref="L44:L49"/>
    <mergeCell ref="M44:M49"/>
    <mergeCell ref="B32:B37"/>
    <mergeCell ref="D32:D37"/>
    <mergeCell ref="B38:B43"/>
    <mergeCell ref="D38:D43"/>
    <mergeCell ref="F38:F43"/>
    <mergeCell ref="G38:G43"/>
    <mergeCell ref="F32:F37"/>
    <mergeCell ref="G32:G37"/>
    <mergeCell ref="K38:K43"/>
    <mergeCell ref="L38:L43"/>
    <mergeCell ref="M38:M43"/>
    <mergeCell ref="H32:H37"/>
    <mergeCell ref="I32:I37"/>
    <mergeCell ref="J32:J37"/>
    <mergeCell ref="K32:K37"/>
    <mergeCell ref="H38:H43"/>
    <mergeCell ref="I38:I43"/>
    <mergeCell ref="B44:B49"/>
    <mergeCell ref="N44:N49"/>
    <mergeCell ref="O26:O31"/>
    <mergeCell ref="L20:L25"/>
    <mergeCell ref="M20:M25"/>
    <mergeCell ref="B20:B25"/>
    <mergeCell ref="D20:D25"/>
    <mergeCell ref="F20:F25"/>
    <mergeCell ref="G20:G25"/>
    <mergeCell ref="H20:H25"/>
    <mergeCell ref="D26:D31"/>
    <mergeCell ref="F26:F31"/>
    <mergeCell ref="H26:H31"/>
    <mergeCell ref="I26:I31"/>
    <mergeCell ref="J26:J31"/>
    <mergeCell ref="K26:K31"/>
    <mergeCell ref="L26:L31"/>
    <mergeCell ref="M26:M31"/>
    <mergeCell ref="I20:I25"/>
    <mergeCell ref="J20:J25"/>
    <mergeCell ref="B26:B31"/>
    <mergeCell ref="N26:N31"/>
    <mergeCell ref="G26:G31"/>
    <mergeCell ref="AK6:AK7"/>
    <mergeCell ref="AJ6:AJ7"/>
    <mergeCell ref="AI6:AI7"/>
    <mergeCell ref="AH6:AH7"/>
    <mergeCell ref="AG6:AG7"/>
    <mergeCell ref="K14:K19"/>
    <mergeCell ref="N20:N25"/>
    <mergeCell ref="O20:O25"/>
    <mergeCell ref="AE6:AE7"/>
    <mergeCell ref="P6:P7"/>
    <mergeCell ref="AD6:AD7"/>
    <mergeCell ref="AC6:AC7"/>
    <mergeCell ref="Y6:Y7"/>
    <mergeCell ref="Q6:Q7"/>
    <mergeCell ref="O8:O13"/>
    <mergeCell ref="O14:O19"/>
    <mergeCell ref="AB6:AB7"/>
    <mergeCell ref="Z6:Z7"/>
    <mergeCell ref="AA6:AA7"/>
    <mergeCell ref="K20:K25"/>
    <mergeCell ref="L14:L19"/>
    <mergeCell ref="M14:M19"/>
    <mergeCell ref="N14:N19"/>
    <mergeCell ref="R6:R7"/>
    <mergeCell ref="S6:X6"/>
    <mergeCell ref="M8:M13"/>
    <mergeCell ref="N8:N13"/>
    <mergeCell ref="M6:M7"/>
    <mergeCell ref="N6:N7"/>
    <mergeCell ref="K8:K13"/>
    <mergeCell ref="L8:L13"/>
    <mergeCell ref="AF6:AF7"/>
    <mergeCell ref="J6:J7"/>
    <mergeCell ref="H8:H13"/>
    <mergeCell ref="I8:I13"/>
    <mergeCell ref="E14:E19"/>
    <mergeCell ref="E6:E7"/>
    <mergeCell ref="E8:E13"/>
    <mergeCell ref="O6:O7"/>
    <mergeCell ref="K6:K7"/>
    <mergeCell ref="L6:L7"/>
    <mergeCell ref="B5:G5"/>
    <mergeCell ref="C56:C61"/>
    <mergeCell ref="B14:B19"/>
    <mergeCell ref="D56:D61"/>
    <mergeCell ref="F56:F61"/>
    <mergeCell ref="G56:G61"/>
    <mergeCell ref="B50:B55"/>
    <mergeCell ref="D50:D55"/>
    <mergeCell ref="F50:F55"/>
    <mergeCell ref="G50:G55"/>
    <mergeCell ref="D44:D49"/>
    <mergeCell ref="F44:F49"/>
    <mergeCell ref="G44:G49"/>
    <mergeCell ref="C6:C7"/>
    <mergeCell ref="C14:C19"/>
    <mergeCell ref="C20:C25"/>
    <mergeCell ref="C26:C31"/>
    <mergeCell ref="C32:C37"/>
    <mergeCell ref="C38:C43"/>
    <mergeCell ref="C44:C49"/>
    <mergeCell ref="C50:C55"/>
    <mergeCell ref="B6:B7"/>
    <mergeCell ref="F14:F19"/>
    <mergeCell ref="G14:G19"/>
    <mergeCell ref="AL8:AL13"/>
    <mergeCell ref="E20:E25"/>
    <mergeCell ref="B56:B61"/>
    <mergeCell ref="B8:B13"/>
    <mergeCell ref="C8:C13"/>
    <mergeCell ref="G6:G7"/>
    <mergeCell ref="F6:F7"/>
    <mergeCell ref="D6:D7"/>
    <mergeCell ref="E26:E31"/>
    <mergeCell ref="E32:E37"/>
    <mergeCell ref="E38:E43"/>
    <mergeCell ref="E44:E49"/>
    <mergeCell ref="E50:E55"/>
    <mergeCell ref="E56:E61"/>
    <mergeCell ref="H14:H19"/>
    <mergeCell ref="I14:I19"/>
    <mergeCell ref="J14:J19"/>
    <mergeCell ref="J8:J13"/>
    <mergeCell ref="D8:D13"/>
    <mergeCell ref="F8:F13"/>
    <mergeCell ref="G8:G13"/>
    <mergeCell ref="D14:D19"/>
    <mergeCell ref="H6:H7"/>
    <mergeCell ref="I6:I7"/>
    <mergeCell ref="B62:B67"/>
    <mergeCell ref="C62:C67"/>
    <mergeCell ref="D62:D67"/>
    <mergeCell ref="E62:E67"/>
    <mergeCell ref="F62:F67"/>
    <mergeCell ref="G62:G67"/>
    <mergeCell ref="H62:H67"/>
    <mergeCell ref="I62:I67"/>
    <mergeCell ref="J62:J67"/>
    <mergeCell ref="K62:K67"/>
    <mergeCell ref="L62:L67"/>
    <mergeCell ref="M62:M67"/>
    <mergeCell ref="N62:N67"/>
    <mergeCell ref="O62:O67"/>
    <mergeCell ref="AL62:AL67"/>
    <mergeCell ref="AM62:AM67"/>
    <mergeCell ref="AN62:AN67"/>
    <mergeCell ref="AO62:AO67"/>
    <mergeCell ref="B68:B73"/>
    <mergeCell ref="C68:C73"/>
    <mergeCell ref="D68:D73"/>
    <mergeCell ref="E68:E73"/>
    <mergeCell ref="F68:F73"/>
    <mergeCell ref="G68:G73"/>
    <mergeCell ref="H68:H73"/>
    <mergeCell ref="I68:I73"/>
    <mergeCell ref="J68:J73"/>
    <mergeCell ref="K68:K73"/>
    <mergeCell ref="L68:L73"/>
    <mergeCell ref="M68:M73"/>
    <mergeCell ref="N68:N73"/>
    <mergeCell ref="O68:O73"/>
    <mergeCell ref="AL68:AL73"/>
    <mergeCell ref="AM68:AM73"/>
    <mergeCell ref="AN68:AN73"/>
    <mergeCell ref="AO68:AO73"/>
    <mergeCell ref="B74:B79"/>
    <mergeCell ref="C74:C79"/>
    <mergeCell ref="D74:D79"/>
    <mergeCell ref="E74:E79"/>
    <mergeCell ref="F74:F79"/>
    <mergeCell ref="G74:G79"/>
    <mergeCell ref="H74:H79"/>
    <mergeCell ref="I74:I79"/>
    <mergeCell ref="J74:J79"/>
    <mergeCell ref="K74:K79"/>
    <mergeCell ref="L74:L79"/>
    <mergeCell ref="M74:M79"/>
    <mergeCell ref="N74:N79"/>
    <mergeCell ref="O74:O79"/>
    <mergeCell ref="AL74:AL79"/>
    <mergeCell ref="AM74:AM79"/>
    <mergeCell ref="AN74:AN79"/>
    <mergeCell ref="AO74:AO79"/>
    <mergeCell ref="B80:B85"/>
    <mergeCell ref="C80:C85"/>
    <mergeCell ref="D80:D85"/>
    <mergeCell ref="E80:E85"/>
    <mergeCell ref="F80:F85"/>
    <mergeCell ref="G80:G85"/>
    <mergeCell ref="H80:H85"/>
    <mergeCell ref="I80:I85"/>
    <mergeCell ref="J80:J85"/>
    <mergeCell ref="K80:K85"/>
    <mergeCell ref="L80:L85"/>
    <mergeCell ref="M80:M85"/>
    <mergeCell ref="N80:N85"/>
    <mergeCell ref="O80:O85"/>
    <mergeCell ref="AL80:AL85"/>
    <mergeCell ref="AM80:AM85"/>
    <mergeCell ref="AN80:AN85"/>
    <mergeCell ref="AO80:AO85"/>
    <mergeCell ref="B86:B91"/>
    <mergeCell ref="C86:C91"/>
    <mergeCell ref="D86:D91"/>
    <mergeCell ref="E86:E91"/>
    <mergeCell ref="F86:F91"/>
    <mergeCell ref="G86:G91"/>
    <mergeCell ref="H86:H91"/>
    <mergeCell ref="I86:I91"/>
    <mergeCell ref="J86:J91"/>
    <mergeCell ref="AN86:AN91"/>
    <mergeCell ref="AO86:AO91"/>
    <mergeCell ref="K86:K91"/>
    <mergeCell ref="L86:L91"/>
    <mergeCell ref="M86:M91"/>
    <mergeCell ref="N86:N91"/>
    <mergeCell ref="O86:O91"/>
    <mergeCell ref="AL86:AL91"/>
    <mergeCell ref="AM86:AM91"/>
    <mergeCell ref="B122:B127"/>
    <mergeCell ref="C122:C127"/>
    <mergeCell ref="D122:D127"/>
    <mergeCell ref="E122:E127"/>
    <mergeCell ref="F122:F127"/>
    <mergeCell ref="G122:G127"/>
    <mergeCell ref="H122:H127"/>
    <mergeCell ref="I122:I127"/>
    <mergeCell ref="J122:J127"/>
    <mergeCell ref="K122:K127"/>
    <mergeCell ref="L122:L127"/>
    <mergeCell ref="M122:M127"/>
    <mergeCell ref="N122:N127"/>
    <mergeCell ref="O122:O127"/>
    <mergeCell ref="AL122:AL127"/>
    <mergeCell ref="AM122:AM127"/>
    <mergeCell ref="AN122:AN127"/>
    <mergeCell ref="AO122:AO127"/>
    <mergeCell ref="B128:B133"/>
    <mergeCell ref="C128:C133"/>
    <mergeCell ref="D128:D133"/>
    <mergeCell ref="E128:E133"/>
    <mergeCell ref="F128:F133"/>
    <mergeCell ref="G128:G133"/>
    <mergeCell ref="H128:H133"/>
    <mergeCell ref="I128:I133"/>
    <mergeCell ref="J128:J133"/>
    <mergeCell ref="K128:K133"/>
    <mergeCell ref="L128:L133"/>
    <mergeCell ref="M128:M133"/>
    <mergeCell ref="N128:N133"/>
    <mergeCell ref="O128:O133"/>
    <mergeCell ref="AL128:AL133"/>
    <mergeCell ref="AM128:AM133"/>
    <mergeCell ref="AN128:AN133"/>
    <mergeCell ref="AO128:AO133"/>
    <mergeCell ref="B134:B139"/>
    <mergeCell ref="C134:C139"/>
    <mergeCell ref="D134:D139"/>
    <mergeCell ref="E134:E139"/>
    <mergeCell ref="F134:F139"/>
    <mergeCell ref="G134:G139"/>
    <mergeCell ref="H134:H139"/>
    <mergeCell ref="I134:I139"/>
    <mergeCell ref="J134:J139"/>
    <mergeCell ref="K134:K139"/>
    <mergeCell ref="L134:L139"/>
    <mergeCell ref="M134:M139"/>
    <mergeCell ref="N134:N139"/>
    <mergeCell ref="O134:O139"/>
    <mergeCell ref="AL134:AL139"/>
    <mergeCell ref="AM134:AM139"/>
    <mergeCell ref="AN134:AN139"/>
    <mergeCell ref="AO134:AO139"/>
    <mergeCell ref="B140:B145"/>
    <mergeCell ref="C140:C145"/>
    <mergeCell ref="D140:D145"/>
    <mergeCell ref="E140:E145"/>
    <mergeCell ref="F140:F145"/>
    <mergeCell ref="G140:G145"/>
    <mergeCell ref="H140:H145"/>
    <mergeCell ref="I140:I145"/>
    <mergeCell ref="J140:J145"/>
    <mergeCell ref="K140:K145"/>
    <mergeCell ref="L140:L145"/>
    <mergeCell ref="M140:M145"/>
    <mergeCell ref="N140:N145"/>
    <mergeCell ref="O140:O145"/>
    <mergeCell ref="AL140:AL145"/>
    <mergeCell ref="AM140:AM145"/>
    <mergeCell ref="AN140:AN145"/>
    <mergeCell ref="AO140:AO145"/>
    <mergeCell ref="B146:B151"/>
    <mergeCell ref="C146:C151"/>
    <mergeCell ref="D146:D151"/>
    <mergeCell ref="E146:E151"/>
    <mergeCell ref="F146:F151"/>
    <mergeCell ref="G146:G151"/>
    <mergeCell ref="H146:H151"/>
    <mergeCell ref="I146:I151"/>
    <mergeCell ref="J146:J151"/>
    <mergeCell ref="AN146:AN151"/>
    <mergeCell ref="AO146:AO151"/>
    <mergeCell ref="L152:L157"/>
    <mergeCell ref="K146:K151"/>
    <mergeCell ref="L146:L151"/>
    <mergeCell ref="M146:M151"/>
    <mergeCell ref="N146:N151"/>
    <mergeCell ref="O146:O151"/>
    <mergeCell ref="AL146:AL151"/>
    <mergeCell ref="AM146:AM151"/>
    <mergeCell ref="B160:B165"/>
    <mergeCell ref="C160:C165"/>
    <mergeCell ref="D160:D165"/>
    <mergeCell ref="E160:E165"/>
    <mergeCell ref="F160:F165"/>
    <mergeCell ref="G160:G165"/>
    <mergeCell ref="H160:H165"/>
    <mergeCell ref="I160:I165"/>
    <mergeCell ref="J160:J165"/>
    <mergeCell ref="K160:K165"/>
    <mergeCell ref="L160:L165"/>
    <mergeCell ref="M160:M165"/>
    <mergeCell ref="N160:N165"/>
    <mergeCell ref="O160:O165"/>
    <mergeCell ref="AL160:AL165"/>
    <mergeCell ref="AM160:AM165"/>
    <mergeCell ref="N166:N171"/>
    <mergeCell ref="O166:O171"/>
    <mergeCell ref="AL166:AL171"/>
    <mergeCell ref="AM166:AM171"/>
    <mergeCell ref="AN166:AN171"/>
    <mergeCell ref="AO166:AO171"/>
    <mergeCell ref="B166:B171"/>
    <mergeCell ref="C166:C171"/>
    <mergeCell ref="D166:D171"/>
    <mergeCell ref="E166:E171"/>
    <mergeCell ref="F166:F171"/>
    <mergeCell ref="G166:G171"/>
    <mergeCell ref="H166:H171"/>
    <mergeCell ref="I166:I171"/>
    <mergeCell ref="J166:J171"/>
    <mergeCell ref="B172:B177"/>
    <mergeCell ref="C172:C177"/>
    <mergeCell ref="D172:D177"/>
    <mergeCell ref="E172:E177"/>
    <mergeCell ref="F172:F177"/>
    <mergeCell ref="G172:G177"/>
    <mergeCell ref="H172:H177"/>
    <mergeCell ref="I172:I177"/>
    <mergeCell ref="J172:J177"/>
    <mergeCell ref="AN172:AN177"/>
    <mergeCell ref="AO172:AO177"/>
    <mergeCell ref="O152:O159"/>
    <mergeCell ref="N152:N159"/>
    <mergeCell ref="M152:M159"/>
    <mergeCell ref="K152:K159"/>
    <mergeCell ref="J152:J159"/>
    <mergeCell ref="I152:I159"/>
    <mergeCell ref="K172:K177"/>
    <mergeCell ref="L172:L177"/>
    <mergeCell ref="M172:M177"/>
    <mergeCell ref="N172:N177"/>
    <mergeCell ref="O172:O177"/>
    <mergeCell ref="AL172:AL177"/>
    <mergeCell ref="AM172:AM177"/>
    <mergeCell ref="AN160:AN165"/>
    <mergeCell ref="AO160:AO165"/>
    <mergeCell ref="K166:K171"/>
    <mergeCell ref="L166:L171"/>
    <mergeCell ref="M166:M171"/>
    <mergeCell ref="H152:H159"/>
    <mergeCell ref="G152:G159"/>
    <mergeCell ref="F152:F159"/>
    <mergeCell ref="E152:E159"/>
    <mergeCell ref="D152:D159"/>
    <mergeCell ref="C152:C159"/>
    <mergeCell ref="B152:B159"/>
    <mergeCell ref="AO152:AO159"/>
    <mergeCell ref="AN152:AN159"/>
    <mergeCell ref="AM152:AM159"/>
    <mergeCell ref="AL152:AL159"/>
    <mergeCell ref="B178:B183"/>
    <mergeCell ref="C178:C183"/>
    <mergeCell ref="D178:D183"/>
    <mergeCell ref="E178:E183"/>
    <mergeCell ref="F178:F183"/>
    <mergeCell ref="G178:G183"/>
    <mergeCell ref="H178:H183"/>
    <mergeCell ref="I178:I183"/>
    <mergeCell ref="J178:J183"/>
    <mergeCell ref="AN178:AN183"/>
    <mergeCell ref="AO178:AO183"/>
    <mergeCell ref="K178:K183"/>
    <mergeCell ref="L178:L183"/>
    <mergeCell ref="M178:M183"/>
    <mergeCell ref="N178:N183"/>
    <mergeCell ref="O178:O183"/>
    <mergeCell ref="AL178:AL183"/>
    <mergeCell ref="AM178:AM183"/>
  </mergeCells>
  <phoneticPr fontId="50" type="noConversion"/>
  <conditionalFormatting sqref="I8">
    <cfRule type="cellIs" dxfId="389" priority="718" operator="equal">
      <formula>"Muy Alta"</formula>
    </cfRule>
    <cfRule type="cellIs" dxfId="388" priority="719" operator="equal">
      <formula>"Alta"</formula>
    </cfRule>
    <cfRule type="cellIs" dxfId="387" priority="720" operator="equal">
      <formula>"Media"</formula>
    </cfRule>
    <cfRule type="cellIs" dxfId="386" priority="721" operator="equal">
      <formula>"Baja"</formula>
    </cfRule>
    <cfRule type="cellIs" dxfId="385" priority="722" operator="equal">
      <formula>"Muy Baja"</formula>
    </cfRule>
  </conditionalFormatting>
  <conditionalFormatting sqref="I8:I152 I160:I183">
    <cfRule type="cellIs" dxfId="384" priority="91" operator="equal">
      <formula>"Casi Seguro"</formula>
    </cfRule>
    <cfRule type="cellIs" dxfId="383" priority="92" operator="equal">
      <formula>"Probable"</formula>
    </cfRule>
    <cfRule type="cellIs" dxfId="382" priority="93" operator="equal">
      <formula>"Posible"</formula>
    </cfRule>
    <cfRule type="cellIs" dxfId="381" priority="94" operator="equal">
      <formula>"Improbable"</formula>
    </cfRule>
    <cfRule type="cellIs" dxfId="380" priority="95" operator="equal">
      <formula>"Rara vez"</formula>
    </cfRule>
  </conditionalFormatting>
  <conditionalFormatting sqref="I14">
    <cfRule type="cellIs" dxfId="379" priority="761" operator="equal">
      <formula>"Muy Alta"</formula>
    </cfRule>
    <cfRule type="cellIs" dxfId="378" priority="762" operator="equal">
      <formula>"Alta"</formula>
    </cfRule>
    <cfRule type="cellIs" dxfId="377" priority="763" operator="equal">
      <formula>"Media"</formula>
    </cfRule>
    <cfRule type="cellIs" dxfId="376" priority="764" operator="equal">
      <formula>"Baja"</formula>
    </cfRule>
    <cfRule type="cellIs" dxfId="375" priority="765" operator="equal">
      <formula>"Muy Baja"</formula>
    </cfRule>
  </conditionalFormatting>
  <conditionalFormatting sqref="I20">
    <cfRule type="cellIs" dxfId="374" priority="675" operator="equal">
      <formula>"Muy Alta"</formula>
    </cfRule>
    <cfRule type="cellIs" dxfId="373" priority="676" operator="equal">
      <formula>"Alta"</formula>
    </cfRule>
    <cfRule type="cellIs" dxfId="372" priority="677" operator="equal">
      <formula>"Media"</formula>
    </cfRule>
    <cfRule type="cellIs" dxfId="371" priority="678" operator="equal">
      <formula>"Baja"</formula>
    </cfRule>
    <cfRule type="cellIs" dxfId="370" priority="679" operator="equal">
      <formula>"Muy Baja"</formula>
    </cfRule>
  </conditionalFormatting>
  <conditionalFormatting sqref="I26">
    <cfRule type="cellIs" dxfId="369" priority="632" operator="equal">
      <formula>"Muy Alta"</formula>
    </cfRule>
    <cfRule type="cellIs" dxfId="368" priority="633" operator="equal">
      <formula>"Alta"</formula>
    </cfRule>
    <cfRule type="cellIs" dxfId="367" priority="634" operator="equal">
      <formula>"Media"</formula>
    </cfRule>
    <cfRule type="cellIs" dxfId="366" priority="635" operator="equal">
      <formula>"Baja"</formula>
    </cfRule>
    <cfRule type="cellIs" dxfId="365" priority="636" operator="equal">
      <formula>"Muy Baja"</formula>
    </cfRule>
  </conditionalFormatting>
  <conditionalFormatting sqref="I32 I38">
    <cfRule type="cellIs" dxfId="364" priority="589" operator="equal">
      <formula>"Muy Alta"</formula>
    </cfRule>
    <cfRule type="cellIs" dxfId="363" priority="590" operator="equal">
      <formula>"Alta"</formula>
    </cfRule>
    <cfRule type="cellIs" dxfId="362" priority="591" operator="equal">
      <formula>"Media"</formula>
    </cfRule>
    <cfRule type="cellIs" dxfId="361" priority="592" operator="equal">
      <formula>"Baja"</formula>
    </cfRule>
    <cfRule type="cellIs" dxfId="360" priority="593" operator="equal">
      <formula>"Muy Baja"</formula>
    </cfRule>
  </conditionalFormatting>
  <conditionalFormatting sqref="I44 I50">
    <cfRule type="cellIs" dxfId="359" priority="542" operator="equal">
      <formula>"Muy Alta"</formula>
    </cfRule>
    <cfRule type="cellIs" dxfId="358" priority="543" operator="equal">
      <formula>"Alta"</formula>
    </cfRule>
    <cfRule type="cellIs" dxfId="357" priority="544" operator="equal">
      <formula>"Media"</formula>
    </cfRule>
    <cfRule type="cellIs" dxfId="356" priority="545" operator="equal">
      <formula>"Baja"</formula>
    </cfRule>
    <cfRule type="cellIs" dxfId="355" priority="546" operator="equal">
      <formula>"Muy Baja"</formula>
    </cfRule>
  </conditionalFormatting>
  <conditionalFormatting sqref="I56">
    <cfRule type="cellIs" dxfId="354" priority="495" operator="equal">
      <formula>"Muy Alta"</formula>
    </cfRule>
    <cfRule type="cellIs" dxfId="353" priority="496" operator="equal">
      <formula>"Alta"</formula>
    </cfRule>
    <cfRule type="cellIs" dxfId="352" priority="497" operator="equal">
      <formula>"Media"</formula>
    </cfRule>
    <cfRule type="cellIs" dxfId="351" priority="498" operator="equal">
      <formula>"Baja"</formula>
    </cfRule>
    <cfRule type="cellIs" dxfId="350" priority="499" operator="equal">
      <formula>"Muy Baja"</formula>
    </cfRule>
  </conditionalFormatting>
  <conditionalFormatting sqref="I62 I68 I74">
    <cfRule type="cellIs" dxfId="349" priority="452" operator="equal">
      <formula>"Muy Alta"</formula>
    </cfRule>
    <cfRule type="cellIs" dxfId="348" priority="453" operator="equal">
      <formula>"Alta"</formula>
    </cfRule>
    <cfRule type="cellIs" dxfId="347" priority="454" operator="equal">
      <formula>"Media"</formula>
    </cfRule>
    <cfRule type="cellIs" dxfId="346" priority="455" operator="equal">
      <formula>"Baja"</formula>
    </cfRule>
    <cfRule type="cellIs" dxfId="345" priority="456" operator="equal">
      <formula>"Muy Baja"</formula>
    </cfRule>
  </conditionalFormatting>
  <conditionalFormatting sqref="I80">
    <cfRule type="cellIs" dxfId="344" priority="400" operator="equal">
      <formula>"Muy Alta"</formula>
    </cfRule>
    <cfRule type="cellIs" dxfId="343" priority="401" operator="equal">
      <formula>"Alta"</formula>
    </cfRule>
    <cfRule type="cellIs" dxfId="342" priority="402" operator="equal">
      <formula>"Media"</formula>
    </cfRule>
    <cfRule type="cellIs" dxfId="341" priority="403" operator="equal">
      <formula>"Baja"</formula>
    </cfRule>
    <cfRule type="cellIs" dxfId="340" priority="404" operator="equal">
      <formula>"Muy Baja"</formula>
    </cfRule>
  </conditionalFormatting>
  <conditionalFormatting sqref="I86">
    <cfRule type="cellIs" dxfId="339" priority="357" operator="equal">
      <formula>"Muy Alta"</formula>
    </cfRule>
    <cfRule type="cellIs" dxfId="338" priority="358" operator="equal">
      <formula>"Alta"</formula>
    </cfRule>
    <cfRule type="cellIs" dxfId="337" priority="359" operator="equal">
      <formula>"Media"</formula>
    </cfRule>
    <cfRule type="cellIs" dxfId="336" priority="360" operator="equal">
      <formula>"Baja"</formula>
    </cfRule>
    <cfRule type="cellIs" dxfId="335" priority="361" operator="equal">
      <formula>"Muy Baja"</formula>
    </cfRule>
  </conditionalFormatting>
  <conditionalFormatting sqref="I92 I98 I104 I110 I116">
    <cfRule type="cellIs" dxfId="334" priority="314" operator="equal">
      <formula>"Muy Alta"</formula>
    </cfRule>
    <cfRule type="cellIs" dxfId="333" priority="315" operator="equal">
      <formula>"Alta"</formula>
    </cfRule>
    <cfRule type="cellIs" dxfId="332" priority="316" operator="equal">
      <formula>"Media"</formula>
    </cfRule>
    <cfRule type="cellIs" dxfId="331" priority="317" operator="equal">
      <formula>"Baja"</formula>
    </cfRule>
    <cfRule type="cellIs" dxfId="330" priority="318" operator="equal">
      <formula>"Muy Baja"</formula>
    </cfRule>
  </conditionalFormatting>
  <conditionalFormatting sqref="I122 I128 I134">
    <cfRule type="cellIs" dxfId="329" priority="264" operator="equal">
      <formula>"Muy Alta"</formula>
    </cfRule>
    <cfRule type="cellIs" dxfId="328" priority="265" operator="equal">
      <formula>"Alta"</formula>
    </cfRule>
    <cfRule type="cellIs" dxfId="327" priority="266" operator="equal">
      <formula>"Media"</formula>
    </cfRule>
    <cfRule type="cellIs" dxfId="326" priority="267" operator="equal">
      <formula>"Baja"</formula>
    </cfRule>
    <cfRule type="cellIs" dxfId="325" priority="268" operator="equal">
      <formula>"Muy Baja"</formula>
    </cfRule>
  </conditionalFormatting>
  <conditionalFormatting sqref="I140">
    <cfRule type="cellIs" dxfId="324" priority="222" operator="equal">
      <formula>"Muy Alta"</formula>
    </cfRule>
    <cfRule type="cellIs" dxfId="323" priority="223" operator="equal">
      <formula>"Alta"</formula>
    </cfRule>
    <cfRule type="cellIs" dxfId="322" priority="224" operator="equal">
      <formula>"Media"</formula>
    </cfRule>
    <cfRule type="cellIs" dxfId="321" priority="225" operator="equal">
      <formula>"Baja"</formula>
    </cfRule>
    <cfRule type="cellIs" dxfId="320" priority="226" operator="equal">
      <formula>"Muy Baja"</formula>
    </cfRule>
  </conditionalFormatting>
  <conditionalFormatting sqref="I146">
    <cfRule type="cellIs" dxfId="319" priority="165" operator="equal">
      <formula>"Muy Alta"</formula>
    </cfRule>
    <cfRule type="cellIs" dxfId="318" priority="166" operator="equal">
      <formula>"Alta"</formula>
    </cfRule>
    <cfRule type="cellIs" dxfId="317" priority="167" operator="equal">
      <formula>"Media"</formula>
    </cfRule>
    <cfRule type="cellIs" dxfId="316" priority="168" operator="equal">
      <formula>"Baja"</formula>
    </cfRule>
    <cfRule type="cellIs" dxfId="315" priority="169" operator="equal">
      <formula>"Muy Baja"</formula>
    </cfRule>
  </conditionalFormatting>
  <conditionalFormatting sqref="I152">
    <cfRule type="cellIs" dxfId="314" priority="147" operator="equal">
      <formula>"Muy Alta"</formula>
    </cfRule>
    <cfRule type="cellIs" dxfId="313" priority="148" operator="equal">
      <formula>"Alta"</formula>
    </cfRule>
    <cfRule type="cellIs" dxfId="312" priority="149" operator="equal">
      <formula>"Media"</formula>
    </cfRule>
    <cfRule type="cellIs" dxfId="311" priority="150" operator="equal">
      <formula>"Baja"</formula>
    </cfRule>
    <cfRule type="cellIs" dxfId="310" priority="151" operator="equal">
      <formula>"Muy Baja"</formula>
    </cfRule>
  </conditionalFormatting>
  <conditionalFormatting sqref="I160">
    <cfRule type="cellIs" dxfId="309" priority="129" operator="equal">
      <formula>"Muy Alta"</formula>
    </cfRule>
    <cfRule type="cellIs" dxfId="308" priority="130" operator="equal">
      <formula>"Alta"</formula>
    </cfRule>
    <cfRule type="cellIs" dxfId="307" priority="131" operator="equal">
      <formula>"Media"</formula>
    </cfRule>
    <cfRule type="cellIs" dxfId="306" priority="132" operator="equal">
      <formula>"Baja"</formula>
    </cfRule>
    <cfRule type="cellIs" dxfId="305" priority="133" operator="equal">
      <formula>"Muy Baja"</formula>
    </cfRule>
  </conditionalFormatting>
  <conditionalFormatting sqref="I166">
    <cfRule type="cellIs" dxfId="304" priority="179" operator="equal">
      <formula>"Muy Alta"</formula>
    </cfRule>
    <cfRule type="cellIs" dxfId="303" priority="180" operator="equal">
      <formula>"Alta"</formula>
    </cfRule>
    <cfRule type="cellIs" dxfId="302" priority="181" operator="equal">
      <formula>"Media"</formula>
    </cfRule>
    <cfRule type="cellIs" dxfId="301" priority="182" operator="equal">
      <formula>"Baja"</formula>
    </cfRule>
    <cfRule type="cellIs" dxfId="300" priority="183" operator="equal">
      <formula>"Muy Baja"</formula>
    </cfRule>
  </conditionalFormatting>
  <conditionalFormatting sqref="I172">
    <cfRule type="cellIs" dxfId="299" priority="82" operator="equal">
      <formula>"Muy Alta"</formula>
    </cfRule>
    <cfRule type="cellIs" dxfId="298" priority="83" operator="equal">
      <formula>"Alta"</formula>
    </cfRule>
    <cfRule type="cellIs" dxfId="297" priority="84" operator="equal">
      <formula>"Media"</formula>
    </cfRule>
    <cfRule type="cellIs" dxfId="296" priority="85" operator="equal">
      <formula>"Baja"</formula>
    </cfRule>
    <cfRule type="cellIs" dxfId="295" priority="86" operator="equal">
      <formula>"Muy Baja"</formula>
    </cfRule>
  </conditionalFormatting>
  <conditionalFormatting sqref="I178">
    <cfRule type="cellIs" dxfId="294" priority="39" operator="equal">
      <formula>"Muy Alta"</formula>
    </cfRule>
    <cfRule type="cellIs" dxfId="293" priority="40" operator="equal">
      <formula>"Alta"</formula>
    </cfRule>
    <cfRule type="cellIs" dxfId="292" priority="41" operator="equal">
      <formula>"Media"</formula>
    </cfRule>
    <cfRule type="cellIs" dxfId="291" priority="42" operator="equal">
      <formula>"Baja"</formula>
    </cfRule>
    <cfRule type="cellIs" dxfId="290" priority="43" operator="equal">
      <formula>"Muy Baja"</formula>
    </cfRule>
  </conditionalFormatting>
  <conditionalFormatting sqref="L8:L183">
    <cfRule type="containsText" dxfId="289" priority="15" operator="containsText" text="❌">
      <formula>NOT(ISERROR(SEARCH("❌",L8)))</formula>
    </cfRule>
  </conditionalFormatting>
  <conditionalFormatting sqref="M8 AB8:AB183">
    <cfRule type="cellIs" dxfId="288" priority="713" operator="equal">
      <formula>"Catastrófico"</formula>
    </cfRule>
    <cfRule type="cellIs" dxfId="287" priority="714" operator="equal">
      <formula>"Mayor"</formula>
    </cfRule>
    <cfRule type="cellIs" dxfId="286" priority="715" operator="equal">
      <formula>"Moderado"</formula>
    </cfRule>
    <cfRule type="cellIs" dxfId="285" priority="716" operator="equal">
      <formula>"Menor"</formula>
    </cfRule>
    <cfRule type="cellIs" dxfId="284" priority="717" operator="equal">
      <formula>"Leve"</formula>
    </cfRule>
  </conditionalFormatting>
  <conditionalFormatting sqref="M14">
    <cfRule type="cellIs" dxfId="283" priority="756" operator="equal">
      <formula>"Catastrófico"</formula>
    </cfRule>
    <cfRule type="cellIs" dxfId="282" priority="757" operator="equal">
      <formula>"Mayor"</formula>
    </cfRule>
    <cfRule type="cellIs" dxfId="281" priority="758" operator="equal">
      <formula>"Moderado"</formula>
    </cfRule>
    <cfRule type="cellIs" dxfId="280" priority="759" operator="equal">
      <formula>"Menor"</formula>
    </cfRule>
    <cfRule type="cellIs" dxfId="279" priority="760" operator="equal">
      <formula>"Leve"</formula>
    </cfRule>
  </conditionalFormatting>
  <conditionalFormatting sqref="M20">
    <cfRule type="cellIs" dxfId="278" priority="670" operator="equal">
      <formula>"Catastrófico"</formula>
    </cfRule>
    <cfRule type="cellIs" dxfId="277" priority="671" operator="equal">
      <formula>"Mayor"</formula>
    </cfRule>
    <cfRule type="cellIs" dxfId="276" priority="672" operator="equal">
      <formula>"Moderado"</formula>
    </cfRule>
    <cfRule type="cellIs" dxfId="275" priority="673" operator="equal">
      <formula>"Menor"</formula>
    </cfRule>
    <cfRule type="cellIs" dxfId="274" priority="674" operator="equal">
      <formula>"Leve"</formula>
    </cfRule>
  </conditionalFormatting>
  <conditionalFormatting sqref="M26">
    <cfRule type="cellIs" dxfId="273" priority="627" operator="equal">
      <formula>"Catastrófico"</formula>
    </cfRule>
    <cfRule type="cellIs" dxfId="272" priority="628" operator="equal">
      <formula>"Mayor"</formula>
    </cfRule>
    <cfRule type="cellIs" dxfId="271" priority="629" operator="equal">
      <formula>"Moderado"</formula>
    </cfRule>
    <cfRule type="cellIs" dxfId="270" priority="630" operator="equal">
      <formula>"Menor"</formula>
    </cfRule>
    <cfRule type="cellIs" dxfId="269" priority="631" operator="equal">
      <formula>"Leve"</formula>
    </cfRule>
  </conditionalFormatting>
  <conditionalFormatting sqref="M32 M38">
    <cfRule type="cellIs" dxfId="268" priority="584" operator="equal">
      <formula>"Catastrófico"</formula>
    </cfRule>
    <cfRule type="cellIs" dxfId="267" priority="585" operator="equal">
      <formula>"Mayor"</formula>
    </cfRule>
    <cfRule type="cellIs" dxfId="266" priority="586" operator="equal">
      <formula>"Moderado"</formula>
    </cfRule>
    <cfRule type="cellIs" dxfId="265" priority="587" operator="equal">
      <formula>"Menor"</formula>
    </cfRule>
    <cfRule type="cellIs" dxfId="264" priority="588" operator="equal">
      <formula>"Leve"</formula>
    </cfRule>
  </conditionalFormatting>
  <conditionalFormatting sqref="M44 M50">
    <cfRule type="cellIs" dxfId="263" priority="537" operator="equal">
      <formula>"Catastrófico"</formula>
    </cfRule>
    <cfRule type="cellIs" dxfId="262" priority="538" operator="equal">
      <formula>"Mayor"</formula>
    </cfRule>
    <cfRule type="cellIs" dxfId="261" priority="539" operator="equal">
      <formula>"Moderado"</formula>
    </cfRule>
    <cfRule type="cellIs" dxfId="260" priority="540" operator="equal">
      <formula>"Menor"</formula>
    </cfRule>
    <cfRule type="cellIs" dxfId="259" priority="541" operator="equal">
      <formula>"Leve"</formula>
    </cfRule>
  </conditionalFormatting>
  <conditionalFormatting sqref="M56">
    <cfRule type="cellIs" dxfId="258" priority="490" operator="equal">
      <formula>"Catastrófico"</formula>
    </cfRule>
    <cfRule type="cellIs" dxfId="257" priority="491" operator="equal">
      <formula>"Mayor"</formula>
    </cfRule>
    <cfRule type="cellIs" dxfId="256" priority="492" operator="equal">
      <formula>"Moderado"</formula>
    </cfRule>
    <cfRule type="cellIs" dxfId="255" priority="493" operator="equal">
      <formula>"Menor"</formula>
    </cfRule>
    <cfRule type="cellIs" dxfId="254" priority="494" operator="equal">
      <formula>"Leve"</formula>
    </cfRule>
  </conditionalFormatting>
  <conditionalFormatting sqref="M62 M68 M74">
    <cfRule type="cellIs" dxfId="253" priority="447" operator="equal">
      <formula>"Catastrófico"</formula>
    </cfRule>
    <cfRule type="cellIs" dxfId="252" priority="448" operator="equal">
      <formula>"Mayor"</formula>
    </cfRule>
    <cfRule type="cellIs" dxfId="251" priority="449" operator="equal">
      <formula>"Moderado"</formula>
    </cfRule>
    <cfRule type="cellIs" dxfId="250" priority="450" operator="equal">
      <formula>"Menor"</formula>
    </cfRule>
    <cfRule type="cellIs" dxfId="249" priority="451" operator="equal">
      <formula>"Leve"</formula>
    </cfRule>
  </conditionalFormatting>
  <conditionalFormatting sqref="M80">
    <cfRule type="cellIs" dxfId="248" priority="395" operator="equal">
      <formula>"Catastrófico"</formula>
    </cfRule>
    <cfRule type="cellIs" dxfId="247" priority="396" operator="equal">
      <formula>"Mayor"</formula>
    </cfRule>
    <cfRule type="cellIs" dxfId="246" priority="397" operator="equal">
      <formula>"Moderado"</formula>
    </cfRule>
    <cfRule type="cellIs" dxfId="245" priority="398" operator="equal">
      <formula>"Menor"</formula>
    </cfRule>
    <cfRule type="cellIs" dxfId="244" priority="399" operator="equal">
      <formula>"Leve"</formula>
    </cfRule>
  </conditionalFormatting>
  <conditionalFormatting sqref="M86">
    <cfRule type="cellIs" dxfId="243" priority="352" operator="equal">
      <formula>"Catastrófico"</formula>
    </cfRule>
    <cfRule type="cellIs" dxfId="242" priority="353" operator="equal">
      <formula>"Mayor"</formula>
    </cfRule>
    <cfRule type="cellIs" dxfId="241" priority="354" operator="equal">
      <formula>"Moderado"</formula>
    </cfRule>
    <cfRule type="cellIs" dxfId="240" priority="355" operator="equal">
      <formula>"Menor"</formula>
    </cfRule>
    <cfRule type="cellIs" dxfId="239" priority="356" operator="equal">
      <formula>"Leve"</formula>
    </cfRule>
  </conditionalFormatting>
  <conditionalFormatting sqref="M92 M98 M104 M110 M116">
    <cfRule type="cellIs" dxfId="238" priority="309" operator="equal">
      <formula>"Catastrófico"</formula>
    </cfRule>
    <cfRule type="cellIs" dxfId="237" priority="310" operator="equal">
      <formula>"Mayor"</formula>
    </cfRule>
    <cfRule type="cellIs" dxfId="236" priority="311" operator="equal">
      <formula>"Moderado"</formula>
    </cfRule>
    <cfRule type="cellIs" dxfId="235" priority="312" operator="equal">
      <formula>"Menor"</formula>
    </cfRule>
    <cfRule type="cellIs" dxfId="234" priority="313" operator="equal">
      <formula>"Leve"</formula>
    </cfRule>
  </conditionalFormatting>
  <conditionalFormatting sqref="M122 M128 M134">
    <cfRule type="cellIs" dxfId="233" priority="259" operator="equal">
      <formula>"Catastrófico"</formula>
    </cfRule>
    <cfRule type="cellIs" dxfId="232" priority="260" operator="equal">
      <formula>"Mayor"</formula>
    </cfRule>
    <cfRule type="cellIs" dxfId="231" priority="261" operator="equal">
      <formula>"Moderado"</formula>
    </cfRule>
    <cfRule type="cellIs" dxfId="230" priority="262" operator="equal">
      <formula>"Menor"</formula>
    </cfRule>
    <cfRule type="cellIs" dxfId="229" priority="263" operator="equal">
      <formula>"Leve"</formula>
    </cfRule>
  </conditionalFormatting>
  <conditionalFormatting sqref="M140">
    <cfRule type="cellIs" dxfId="228" priority="217" operator="equal">
      <formula>"Catastrófico"</formula>
    </cfRule>
    <cfRule type="cellIs" dxfId="227" priority="218" operator="equal">
      <formula>"Mayor"</formula>
    </cfRule>
    <cfRule type="cellIs" dxfId="226" priority="219" operator="equal">
      <formula>"Moderado"</formula>
    </cfRule>
    <cfRule type="cellIs" dxfId="225" priority="220" operator="equal">
      <formula>"Menor"</formula>
    </cfRule>
    <cfRule type="cellIs" dxfId="224" priority="221" operator="equal">
      <formula>"Leve"</formula>
    </cfRule>
  </conditionalFormatting>
  <conditionalFormatting sqref="M146">
    <cfRule type="cellIs" dxfId="223" priority="160" operator="equal">
      <formula>"Catastrófico"</formula>
    </cfRule>
    <cfRule type="cellIs" dxfId="222" priority="161" operator="equal">
      <formula>"Mayor"</formula>
    </cfRule>
    <cfRule type="cellIs" dxfId="221" priority="162" operator="equal">
      <formula>"Moderado"</formula>
    </cfRule>
    <cfRule type="cellIs" dxfId="220" priority="163" operator="equal">
      <formula>"Menor"</formula>
    </cfRule>
    <cfRule type="cellIs" dxfId="219" priority="164" operator="equal">
      <formula>"Leve"</formula>
    </cfRule>
  </conditionalFormatting>
  <conditionalFormatting sqref="M152">
    <cfRule type="cellIs" dxfId="218" priority="142" operator="equal">
      <formula>"Catastrófico"</formula>
    </cfRule>
    <cfRule type="cellIs" dxfId="217" priority="143" operator="equal">
      <formula>"Mayor"</formula>
    </cfRule>
    <cfRule type="cellIs" dxfId="216" priority="144" operator="equal">
      <formula>"Moderado"</formula>
    </cfRule>
    <cfRule type="cellIs" dxfId="215" priority="145" operator="equal">
      <formula>"Menor"</formula>
    </cfRule>
    <cfRule type="cellIs" dxfId="214" priority="146" operator="equal">
      <formula>"Leve"</formula>
    </cfRule>
  </conditionalFormatting>
  <conditionalFormatting sqref="M160">
    <cfRule type="cellIs" dxfId="213" priority="124" operator="equal">
      <formula>"Catastrófico"</formula>
    </cfRule>
    <cfRule type="cellIs" dxfId="212" priority="125" operator="equal">
      <formula>"Mayor"</formula>
    </cfRule>
    <cfRule type="cellIs" dxfId="211" priority="126" operator="equal">
      <formula>"Moderado"</formula>
    </cfRule>
    <cfRule type="cellIs" dxfId="210" priority="127" operator="equal">
      <formula>"Menor"</formula>
    </cfRule>
    <cfRule type="cellIs" dxfId="209" priority="128" operator="equal">
      <formula>"Leve"</formula>
    </cfRule>
  </conditionalFormatting>
  <conditionalFormatting sqref="M166">
    <cfRule type="cellIs" dxfId="208" priority="174" operator="equal">
      <formula>"Catastrófico"</formula>
    </cfRule>
    <cfRule type="cellIs" dxfId="207" priority="175" operator="equal">
      <formula>"Mayor"</formula>
    </cfRule>
    <cfRule type="cellIs" dxfId="206" priority="176" operator="equal">
      <formula>"Moderado"</formula>
    </cfRule>
    <cfRule type="cellIs" dxfId="205" priority="177" operator="equal">
      <formula>"Menor"</formula>
    </cfRule>
    <cfRule type="cellIs" dxfId="204" priority="178" operator="equal">
      <formula>"Leve"</formula>
    </cfRule>
  </conditionalFormatting>
  <conditionalFormatting sqref="M172">
    <cfRule type="cellIs" dxfId="203" priority="77" operator="equal">
      <formula>"Catastrófico"</formula>
    </cfRule>
    <cfRule type="cellIs" dxfId="202" priority="78" operator="equal">
      <formula>"Mayor"</formula>
    </cfRule>
    <cfRule type="cellIs" dxfId="201" priority="79" operator="equal">
      <formula>"Moderado"</formula>
    </cfRule>
    <cfRule type="cellIs" dxfId="200" priority="80" operator="equal">
      <formula>"Menor"</formula>
    </cfRule>
    <cfRule type="cellIs" dxfId="199" priority="81" operator="equal">
      <formula>"Leve"</formula>
    </cfRule>
  </conditionalFormatting>
  <conditionalFormatting sqref="M178">
    <cfRule type="cellIs" dxfId="198" priority="34" operator="equal">
      <formula>"Catastrófico"</formula>
    </cfRule>
    <cfRule type="cellIs" dxfId="197" priority="35" operator="equal">
      <formula>"Mayor"</formula>
    </cfRule>
    <cfRule type="cellIs" dxfId="196" priority="36" operator="equal">
      <formula>"Moderado"</formula>
    </cfRule>
    <cfRule type="cellIs" dxfId="195" priority="37" operator="equal">
      <formula>"Menor"</formula>
    </cfRule>
    <cfRule type="cellIs" dxfId="194" priority="38" operator="equal">
      <formula>"Leve"</formula>
    </cfRule>
  </conditionalFormatting>
  <conditionalFormatting sqref="O8 AD8:AD183">
    <cfRule type="cellIs" dxfId="193" priority="709" operator="equal">
      <formula>"Extremo"</formula>
    </cfRule>
    <cfRule type="cellIs" dxfId="192" priority="710" operator="equal">
      <formula>"Alto"</formula>
    </cfRule>
    <cfRule type="cellIs" dxfId="191" priority="711" operator="equal">
      <formula>"Moderado"</formula>
    </cfRule>
    <cfRule type="cellIs" dxfId="190" priority="712" operator="equal">
      <formula>"Bajo"</formula>
    </cfRule>
  </conditionalFormatting>
  <conditionalFormatting sqref="O14">
    <cfRule type="cellIs" dxfId="189" priority="752" operator="equal">
      <formula>"Extremo"</formula>
    </cfRule>
    <cfRule type="cellIs" dxfId="188" priority="753" operator="equal">
      <formula>"Alto"</formula>
    </cfRule>
    <cfRule type="cellIs" dxfId="187" priority="754" operator="equal">
      <formula>"Moderado"</formula>
    </cfRule>
    <cfRule type="cellIs" dxfId="186" priority="755" operator="equal">
      <formula>"Bajo"</formula>
    </cfRule>
  </conditionalFormatting>
  <conditionalFormatting sqref="O20">
    <cfRule type="cellIs" dxfId="185" priority="666" operator="equal">
      <formula>"Extremo"</formula>
    </cfRule>
    <cfRule type="cellIs" dxfId="184" priority="667" operator="equal">
      <formula>"Alto"</formula>
    </cfRule>
    <cfRule type="cellIs" dxfId="183" priority="668" operator="equal">
      <formula>"Moderado"</formula>
    </cfRule>
    <cfRule type="cellIs" dxfId="182" priority="669" operator="equal">
      <formula>"Bajo"</formula>
    </cfRule>
  </conditionalFormatting>
  <conditionalFormatting sqref="O26">
    <cfRule type="cellIs" dxfId="181" priority="623" operator="equal">
      <formula>"Extremo"</formula>
    </cfRule>
    <cfRule type="cellIs" dxfId="180" priority="624" operator="equal">
      <formula>"Alto"</formula>
    </cfRule>
    <cfRule type="cellIs" dxfId="179" priority="625" operator="equal">
      <formula>"Moderado"</formula>
    </cfRule>
    <cfRule type="cellIs" dxfId="178" priority="626" operator="equal">
      <formula>"Bajo"</formula>
    </cfRule>
  </conditionalFormatting>
  <conditionalFormatting sqref="O32 O38">
    <cfRule type="cellIs" dxfId="177" priority="580" operator="equal">
      <formula>"Extremo"</formula>
    </cfRule>
    <cfRule type="cellIs" dxfId="176" priority="581" operator="equal">
      <formula>"Alto"</formula>
    </cfRule>
    <cfRule type="cellIs" dxfId="175" priority="582" operator="equal">
      <formula>"Moderado"</formula>
    </cfRule>
    <cfRule type="cellIs" dxfId="174" priority="583" operator="equal">
      <formula>"Bajo"</formula>
    </cfRule>
  </conditionalFormatting>
  <conditionalFormatting sqref="O44 O50">
    <cfRule type="cellIs" dxfId="173" priority="533" operator="equal">
      <formula>"Extremo"</formula>
    </cfRule>
    <cfRule type="cellIs" dxfId="172" priority="534" operator="equal">
      <formula>"Alto"</formula>
    </cfRule>
    <cfRule type="cellIs" dxfId="171" priority="535" operator="equal">
      <formula>"Moderado"</formula>
    </cfRule>
    <cfRule type="cellIs" dxfId="170" priority="536" operator="equal">
      <formula>"Bajo"</formula>
    </cfRule>
  </conditionalFormatting>
  <conditionalFormatting sqref="O56">
    <cfRule type="cellIs" dxfId="169" priority="486" operator="equal">
      <formula>"Extremo"</formula>
    </cfRule>
    <cfRule type="cellIs" dxfId="168" priority="487" operator="equal">
      <formula>"Alto"</formula>
    </cfRule>
    <cfRule type="cellIs" dxfId="167" priority="488" operator="equal">
      <formula>"Moderado"</formula>
    </cfRule>
    <cfRule type="cellIs" dxfId="166" priority="489" operator="equal">
      <formula>"Bajo"</formula>
    </cfRule>
  </conditionalFormatting>
  <conditionalFormatting sqref="O62 O68 O74">
    <cfRule type="cellIs" dxfId="165" priority="443" operator="equal">
      <formula>"Extremo"</formula>
    </cfRule>
    <cfRule type="cellIs" dxfId="164" priority="444" operator="equal">
      <formula>"Alto"</formula>
    </cfRule>
    <cfRule type="cellIs" dxfId="163" priority="445" operator="equal">
      <formula>"Moderado"</formula>
    </cfRule>
    <cfRule type="cellIs" dxfId="162" priority="446" operator="equal">
      <formula>"Bajo"</formula>
    </cfRule>
  </conditionalFormatting>
  <conditionalFormatting sqref="O80">
    <cfRule type="cellIs" dxfId="161" priority="391" operator="equal">
      <formula>"Extremo"</formula>
    </cfRule>
    <cfRule type="cellIs" dxfId="160" priority="392" operator="equal">
      <formula>"Alto"</formula>
    </cfRule>
    <cfRule type="cellIs" dxfId="159" priority="393" operator="equal">
      <formula>"Moderado"</formula>
    </cfRule>
    <cfRule type="cellIs" dxfId="158" priority="394" operator="equal">
      <formula>"Bajo"</formula>
    </cfRule>
  </conditionalFormatting>
  <conditionalFormatting sqref="O86">
    <cfRule type="cellIs" dxfId="157" priority="348" operator="equal">
      <formula>"Extremo"</formula>
    </cfRule>
    <cfRule type="cellIs" dxfId="156" priority="349" operator="equal">
      <formula>"Alto"</formula>
    </cfRule>
    <cfRule type="cellIs" dxfId="155" priority="350" operator="equal">
      <formula>"Moderado"</formula>
    </cfRule>
    <cfRule type="cellIs" dxfId="154" priority="351" operator="equal">
      <formula>"Bajo"</formula>
    </cfRule>
  </conditionalFormatting>
  <conditionalFormatting sqref="O92 O98 O104 O110 O116">
    <cfRule type="cellIs" dxfId="153" priority="305" operator="equal">
      <formula>"Extremo"</formula>
    </cfRule>
    <cfRule type="cellIs" dxfId="152" priority="306" operator="equal">
      <formula>"Alto"</formula>
    </cfRule>
    <cfRule type="cellIs" dxfId="151" priority="307" operator="equal">
      <formula>"Moderado"</formula>
    </cfRule>
    <cfRule type="cellIs" dxfId="150" priority="308" operator="equal">
      <formula>"Bajo"</formula>
    </cfRule>
  </conditionalFormatting>
  <conditionalFormatting sqref="O122 O128 O134">
    <cfRule type="cellIs" dxfId="149" priority="255" operator="equal">
      <formula>"Extremo"</formula>
    </cfRule>
    <cfRule type="cellIs" dxfId="148" priority="256" operator="equal">
      <formula>"Alto"</formula>
    </cfRule>
    <cfRule type="cellIs" dxfId="147" priority="257" operator="equal">
      <formula>"Moderado"</formula>
    </cfRule>
    <cfRule type="cellIs" dxfId="146" priority="258" operator="equal">
      <formula>"Bajo"</formula>
    </cfRule>
  </conditionalFormatting>
  <conditionalFormatting sqref="O140">
    <cfRule type="cellIs" dxfId="145" priority="213" operator="equal">
      <formula>"Extremo"</formula>
    </cfRule>
    <cfRule type="cellIs" dxfId="144" priority="214" operator="equal">
      <formula>"Alto"</formula>
    </cfRule>
    <cfRule type="cellIs" dxfId="143" priority="215" operator="equal">
      <formula>"Moderado"</formula>
    </cfRule>
    <cfRule type="cellIs" dxfId="142" priority="216" operator="equal">
      <formula>"Bajo"</formula>
    </cfRule>
  </conditionalFormatting>
  <conditionalFormatting sqref="O146">
    <cfRule type="cellIs" dxfId="141" priority="156" operator="equal">
      <formula>"Extremo"</formula>
    </cfRule>
    <cfRule type="cellIs" dxfId="140" priority="157" operator="equal">
      <formula>"Alto"</formula>
    </cfRule>
    <cfRule type="cellIs" dxfId="139" priority="158" operator="equal">
      <formula>"Moderado"</formula>
    </cfRule>
    <cfRule type="cellIs" dxfId="138" priority="159" operator="equal">
      <formula>"Bajo"</formula>
    </cfRule>
  </conditionalFormatting>
  <conditionalFormatting sqref="O152">
    <cfRule type="cellIs" dxfId="137" priority="138" operator="equal">
      <formula>"Extremo"</formula>
    </cfRule>
    <cfRule type="cellIs" dxfId="136" priority="139" operator="equal">
      <formula>"Alto"</formula>
    </cfRule>
    <cfRule type="cellIs" dxfId="135" priority="140" operator="equal">
      <formula>"Moderado"</formula>
    </cfRule>
    <cfRule type="cellIs" dxfId="134" priority="141" operator="equal">
      <formula>"Bajo"</formula>
    </cfRule>
  </conditionalFormatting>
  <conditionalFormatting sqref="O160">
    <cfRule type="cellIs" dxfId="133" priority="120" operator="equal">
      <formula>"Extremo"</formula>
    </cfRule>
    <cfRule type="cellIs" dxfId="132" priority="121" operator="equal">
      <formula>"Alto"</formula>
    </cfRule>
    <cfRule type="cellIs" dxfId="131" priority="122" operator="equal">
      <formula>"Moderado"</formula>
    </cfRule>
    <cfRule type="cellIs" dxfId="130" priority="123" operator="equal">
      <formula>"Bajo"</formula>
    </cfRule>
  </conditionalFormatting>
  <conditionalFormatting sqref="O166">
    <cfRule type="cellIs" dxfId="129" priority="170" operator="equal">
      <formula>"Extremo"</formula>
    </cfRule>
    <cfRule type="cellIs" dxfId="128" priority="171" operator="equal">
      <formula>"Alto"</formula>
    </cfRule>
    <cfRule type="cellIs" dxfId="127" priority="172" operator="equal">
      <formula>"Moderado"</formula>
    </cfRule>
    <cfRule type="cellIs" dxfId="126" priority="173" operator="equal">
      <formula>"Bajo"</formula>
    </cfRule>
  </conditionalFormatting>
  <conditionalFormatting sqref="O172">
    <cfRule type="cellIs" dxfId="125" priority="73" operator="equal">
      <formula>"Extremo"</formula>
    </cfRule>
    <cfRule type="cellIs" dxfId="124" priority="74" operator="equal">
      <formula>"Alto"</formula>
    </cfRule>
    <cfRule type="cellIs" dxfId="123" priority="75" operator="equal">
      <formula>"Moderado"</formula>
    </cfRule>
    <cfRule type="cellIs" dxfId="122" priority="76" operator="equal">
      <formula>"Bajo"</formula>
    </cfRule>
  </conditionalFormatting>
  <conditionalFormatting sqref="O178">
    <cfRule type="cellIs" dxfId="121" priority="30" operator="equal">
      <formula>"Extremo"</formula>
    </cfRule>
    <cfRule type="cellIs" dxfId="120" priority="31" operator="equal">
      <formula>"Alto"</formula>
    </cfRule>
    <cfRule type="cellIs" dxfId="119" priority="32" operator="equal">
      <formula>"Moderado"</formula>
    </cfRule>
    <cfRule type="cellIs" dxfId="118" priority="33" operator="equal">
      <formula>"Bajo"</formula>
    </cfRule>
  </conditionalFormatting>
  <conditionalFormatting sqref="Z8:Z183">
    <cfRule type="cellIs" dxfId="117" priority="5" operator="equal">
      <formula>"Casi Seguro"</formula>
    </cfRule>
    <cfRule type="cellIs" dxfId="116" priority="6" operator="equal">
      <formula>"Probable"</formula>
    </cfRule>
    <cfRule type="cellIs" dxfId="115" priority="7" operator="equal">
      <formula>"Posible"</formula>
    </cfRule>
    <cfRule type="cellIs" dxfId="114" priority="8" operator="equal">
      <formula>"Improbable"</formula>
    </cfRule>
    <cfRule type="cellIs" dxfId="113" priority="9" operator="equal">
      <formula>"Rara vez"</formula>
    </cfRule>
    <cfRule type="cellIs" dxfId="112" priority="25" operator="equal">
      <formula>"Muy Alta"</formula>
    </cfRule>
    <cfRule type="cellIs" dxfId="111" priority="26" operator="equal">
      <formula>"Alta"</formula>
    </cfRule>
    <cfRule type="cellIs" dxfId="110" priority="27" operator="equal">
      <formula>"Media"</formula>
    </cfRule>
    <cfRule type="cellIs" dxfId="109" priority="28" operator="equal">
      <formula>"Baja"</formula>
    </cfRule>
    <cfRule type="cellIs" dxfId="108" priority="29" operator="equal">
      <formula>"Muy Baja"</formula>
    </cfRule>
  </conditionalFormatting>
  <conditionalFormatting sqref="AN8:AO8">
    <cfRule type="cellIs" dxfId="107" priority="680" operator="equal">
      <formula>"Extremo"</formula>
    </cfRule>
    <cfRule type="cellIs" dxfId="106" priority="681" operator="equal">
      <formula>"Alto"</formula>
    </cfRule>
    <cfRule type="cellIs" dxfId="105" priority="682" operator="equal">
      <formula>"Moderado"</formula>
    </cfRule>
    <cfRule type="cellIs" dxfId="104" priority="683" operator="equal">
      <formula>"Bajo"</formula>
    </cfRule>
  </conditionalFormatting>
  <conditionalFormatting sqref="AN14:AO14">
    <cfRule type="cellIs" dxfId="103" priority="723" operator="equal">
      <formula>"Extremo"</formula>
    </cfRule>
    <cfRule type="cellIs" dxfId="102" priority="724" operator="equal">
      <formula>"Alto"</formula>
    </cfRule>
    <cfRule type="cellIs" dxfId="101" priority="725" operator="equal">
      <formula>"Moderado"</formula>
    </cfRule>
    <cfRule type="cellIs" dxfId="100" priority="726" operator="equal">
      <formula>"Bajo"</formula>
    </cfRule>
  </conditionalFormatting>
  <conditionalFormatting sqref="AN20:AO20">
    <cfRule type="cellIs" dxfId="99" priority="637" operator="equal">
      <formula>"Extremo"</formula>
    </cfRule>
    <cfRule type="cellIs" dxfId="98" priority="638" operator="equal">
      <formula>"Alto"</formula>
    </cfRule>
    <cfRule type="cellIs" dxfId="97" priority="639" operator="equal">
      <formula>"Moderado"</formula>
    </cfRule>
    <cfRule type="cellIs" dxfId="96" priority="640" operator="equal">
      <formula>"Bajo"</formula>
    </cfRule>
  </conditionalFormatting>
  <conditionalFormatting sqref="AN26:AO26">
    <cfRule type="cellIs" dxfId="95" priority="594" operator="equal">
      <formula>"Extremo"</formula>
    </cfRule>
    <cfRule type="cellIs" dxfId="94" priority="595" operator="equal">
      <formula>"Alto"</formula>
    </cfRule>
    <cfRule type="cellIs" dxfId="93" priority="596" operator="equal">
      <formula>"Moderado"</formula>
    </cfRule>
    <cfRule type="cellIs" dxfId="92" priority="597" operator="equal">
      <formula>"Bajo"</formula>
    </cfRule>
  </conditionalFormatting>
  <conditionalFormatting sqref="AN32:AO32">
    <cfRule type="cellIs" dxfId="91" priority="551" operator="equal">
      <formula>"Extremo"</formula>
    </cfRule>
    <cfRule type="cellIs" dxfId="90" priority="552" operator="equal">
      <formula>"Alto"</formula>
    </cfRule>
    <cfRule type="cellIs" dxfId="89" priority="553" operator="equal">
      <formula>"Moderado"</formula>
    </cfRule>
    <cfRule type="cellIs" dxfId="88" priority="554" operator="equal">
      <formula>"Bajo"</formula>
    </cfRule>
  </conditionalFormatting>
  <conditionalFormatting sqref="AN38:AO38">
    <cfRule type="cellIs" dxfId="87" priority="547" operator="equal">
      <formula>"Extremo"</formula>
    </cfRule>
    <cfRule type="cellIs" dxfId="86" priority="548" operator="equal">
      <formula>"Alto"</formula>
    </cfRule>
    <cfRule type="cellIs" dxfId="85" priority="549" operator="equal">
      <formula>"Moderado"</formula>
    </cfRule>
    <cfRule type="cellIs" dxfId="84" priority="550" operator="equal">
      <formula>"Bajo"</formula>
    </cfRule>
  </conditionalFormatting>
  <conditionalFormatting sqref="AN44:AO44">
    <cfRule type="cellIs" dxfId="83" priority="504" operator="equal">
      <formula>"Extremo"</formula>
    </cfRule>
    <cfRule type="cellIs" dxfId="82" priority="505" operator="equal">
      <formula>"Alto"</formula>
    </cfRule>
    <cfRule type="cellIs" dxfId="81" priority="506" operator="equal">
      <formula>"Moderado"</formula>
    </cfRule>
    <cfRule type="cellIs" dxfId="80" priority="507" operator="equal">
      <formula>"Bajo"</formula>
    </cfRule>
  </conditionalFormatting>
  <conditionalFormatting sqref="AN50:AO50">
    <cfRule type="cellIs" dxfId="79" priority="500" operator="equal">
      <formula>"Extremo"</formula>
    </cfRule>
    <cfRule type="cellIs" dxfId="78" priority="501" operator="equal">
      <formula>"Alto"</formula>
    </cfRule>
    <cfRule type="cellIs" dxfId="77" priority="502" operator="equal">
      <formula>"Moderado"</formula>
    </cfRule>
    <cfRule type="cellIs" dxfId="76" priority="503" operator="equal">
      <formula>"Bajo"</formula>
    </cfRule>
  </conditionalFormatting>
  <conditionalFormatting sqref="AN56:AO56">
    <cfRule type="cellIs" dxfId="75" priority="457" operator="equal">
      <formula>"Extremo"</formula>
    </cfRule>
    <cfRule type="cellIs" dxfId="74" priority="458" operator="equal">
      <formula>"Alto"</formula>
    </cfRule>
    <cfRule type="cellIs" dxfId="73" priority="459" operator="equal">
      <formula>"Moderado"</formula>
    </cfRule>
    <cfRule type="cellIs" dxfId="72" priority="460" operator="equal">
      <formula>"Bajo"</formula>
    </cfRule>
  </conditionalFormatting>
  <conditionalFormatting sqref="AN62:AO62 AN68:AO68 AN74:AO74">
    <cfRule type="cellIs" dxfId="71" priority="433" operator="equal">
      <formula>"Extremo"</formula>
    </cfRule>
    <cfRule type="cellIs" dxfId="70" priority="434" operator="equal">
      <formula>"Alto"</formula>
    </cfRule>
    <cfRule type="cellIs" dxfId="69" priority="435" operator="equal">
      <formula>"Moderado"</formula>
    </cfRule>
    <cfRule type="cellIs" dxfId="68" priority="436" operator="equal">
      <formula>"Bajo"</formula>
    </cfRule>
  </conditionalFormatting>
  <conditionalFormatting sqref="AN80:AO80">
    <cfRule type="cellIs" dxfId="67" priority="362" operator="equal">
      <formula>"Extremo"</formula>
    </cfRule>
    <cfRule type="cellIs" dxfId="66" priority="363" operator="equal">
      <formula>"Alto"</formula>
    </cfRule>
    <cfRule type="cellIs" dxfId="65" priority="364" operator="equal">
      <formula>"Moderado"</formula>
    </cfRule>
    <cfRule type="cellIs" dxfId="64" priority="365" operator="equal">
      <formula>"Bajo"</formula>
    </cfRule>
  </conditionalFormatting>
  <conditionalFormatting sqref="AN86:AO86">
    <cfRule type="cellIs" dxfId="63" priority="319" operator="equal">
      <formula>"Extremo"</formula>
    </cfRule>
    <cfRule type="cellIs" dxfId="62" priority="320" operator="equal">
      <formula>"Alto"</formula>
    </cfRule>
    <cfRule type="cellIs" dxfId="61" priority="321" operator="equal">
      <formula>"Moderado"</formula>
    </cfRule>
    <cfRule type="cellIs" dxfId="60" priority="322" operator="equal">
      <formula>"Bajo"</formula>
    </cfRule>
  </conditionalFormatting>
  <conditionalFormatting sqref="AN92:AO92">
    <cfRule type="cellIs" dxfId="59" priority="285" operator="equal">
      <formula>"Extremo"</formula>
    </cfRule>
    <cfRule type="cellIs" dxfId="58" priority="286" operator="equal">
      <formula>"Alto"</formula>
    </cfRule>
    <cfRule type="cellIs" dxfId="57" priority="287" operator="equal">
      <formula>"Moderado"</formula>
    </cfRule>
    <cfRule type="cellIs" dxfId="56" priority="288" operator="equal">
      <formula>"Bajo"</formula>
    </cfRule>
  </conditionalFormatting>
  <conditionalFormatting sqref="AN98:AO98">
    <cfRule type="cellIs" dxfId="55" priority="269" operator="equal">
      <formula>"Extremo"</formula>
    </cfRule>
    <cfRule type="cellIs" dxfId="54" priority="270" operator="equal">
      <formula>"Alto"</formula>
    </cfRule>
    <cfRule type="cellIs" dxfId="53" priority="271" operator="equal">
      <formula>"Moderado"</formula>
    </cfRule>
    <cfRule type="cellIs" dxfId="52" priority="272" operator="equal">
      <formula>"Bajo"</formula>
    </cfRule>
  </conditionalFormatting>
  <conditionalFormatting sqref="AN104:AO104">
    <cfRule type="cellIs" dxfId="51" priority="281" operator="equal">
      <formula>"Extremo"</formula>
    </cfRule>
    <cfRule type="cellIs" dxfId="50" priority="282" operator="equal">
      <formula>"Alto"</formula>
    </cfRule>
    <cfRule type="cellIs" dxfId="49" priority="283" operator="equal">
      <formula>"Moderado"</formula>
    </cfRule>
    <cfRule type="cellIs" dxfId="48" priority="284" operator="equal">
      <formula>"Bajo"</formula>
    </cfRule>
  </conditionalFormatting>
  <conditionalFormatting sqref="AN110:AO110">
    <cfRule type="cellIs" dxfId="47" priority="277" operator="equal">
      <formula>"Extremo"</formula>
    </cfRule>
    <cfRule type="cellIs" dxfId="46" priority="278" operator="equal">
      <formula>"Alto"</formula>
    </cfRule>
    <cfRule type="cellIs" dxfId="45" priority="279" operator="equal">
      <formula>"Moderado"</formula>
    </cfRule>
    <cfRule type="cellIs" dxfId="44" priority="280" operator="equal">
      <formula>"Bajo"</formula>
    </cfRule>
  </conditionalFormatting>
  <conditionalFormatting sqref="AN116:AO116">
    <cfRule type="cellIs" dxfId="43" priority="273" operator="equal">
      <formula>"Extremo"</formula>
    </cfRule>
    <cfRule type="cellIs" dxfId="42" priority="274" operator="equal">
      <formula>"Alto"</formula>
    </cfRule>
    <cfRule type="cellIs" dxfId="41" priority="275" operator="equal">
      <formula>"Moderado"</formula>
    </cfRule>
    <cfRule type="cellIs" dxfId="40" priority="276" operator="equal">
      <formula>"Bajo"</formula>
    </cfRule>
  </conditionalFormatting>
  <conditionalFormatting sqref="AN122:AO122">
    <cfRule type="cellIs" dxfId="39" priority="235" operator="equal">
      <formula>"Extremo"</formula>
    </cfRule>
    <cfRule type="cellIs" dxfId="38" priority="236" operator="equal">
      <formula>"Alto"</formula>
    </cfRule>
    <cfRule type="cellIs" dxfId="37" priority="237" operator="equal">
      <formula>"Moderado"</formula>
    </cfRule>
    <cfRule type="cellIs" dxfId="36" priority="238" operator="equal">
      <formula>"Bajo"</formula>
    </cfRule>
  </conditionalFormatting>
  <conditionalFormatting sqref="AN128:AO128">
    <cfRule type="cellIs" dxfId="35" priority="227" operator="equal">
      <formula>"Extremo"</formula>
    </cfRule>
    <cfRule type="cellIs" dxfId="34" priority="228" operator="equal">
      <formula>"Alto"</formula>
    </cfRule>
    <cfRule type="cellIs" dxfId="33" priority="229" operator="equal">
      <formula>"Moderado"</formula>
    </cfRule>
    <cfRule type="cellIs" dxfId="32" priority="230" operator="equal">
      <formula>"Bajo"</formula>
    </cfRule>
  </conditionalFormatting>
  <conditionalFormatting sqref="AN134:AO134">
    <cfRule type="cellIs" dxfId="31" priority="231" operator="equal">
      <formula>"Extremo"</formula>
    </cfRule>
    <cfRule type="cellIs" dxfId="30" priority="232" operator="equal">
      <formula>"Alto"</formula>
    </cfRule>
    <cfRule type="cellIs" dxfId="29" priority="233" operator="equal">
      <formula>"Moderado"</formula>
    </cfRule>
    <cfRule type="cellIs" dxfId="28" priority="234" operator="equal">
      <formula>"Bajo"</formula>
    </cfRule>
  </conditionalFormatting>
  <conditionalFormatting sqref="AN140:AO140">
    <cfRule type="cellIs" dxfId="27" priority="184" operator="equal">
      <formula>"Extremo"</formula>
    </cfRule>
    <cfRule type="cellIs" dxfId="26" priority="185" operator="equal">
      <formula>"Alto"</formula>
    </cfRule>
    <cfRule type="cellIs" dxfId="25" priority="186" operator="equal">
      <formula>"Moderado"</formula>
    </cfRule>
    <cfRule type="cellIs" dxfId="24" priority="187" operator="equal">
      <formula>"Bajo"</formula>
    </cfRule>
  </conditionalFormatting>
  <conditionalFormatting sqref="AN146:AO146">
    <cfRule type="cellIs" dxfId="23" priority="152" operator="equal">
      <formula>"Extremo"</formula>
    </cfRule>
    <cfRule type="cellIs" dxfId="22" priority="153" operator="equal">
      <formula>"Alto"</formula>
    </cfRule>
    <cfRule type="cellIs" dxfId="21" priority="154" operator="equal">
      <formula>"Moderado"</formula>
    </cfRule>
    <cfRule type="cellIs" dxfId="20" priority="155" operator="equal">
      <formula>"Bajo"</formula>
    </cfRule>
  </conditionalFormatting>
  <conditionalFormatting sqref="AN152:AO152">
    <cfRule type="cellIs" dxfId="19" priority="134" operator="equal">
      <formula>"Extremo"</formula>
    </cfRule>
    <cfRule type="cellIs" dxfId="18" priority="135" operator="equal">
      <formula>"Alto"</formula>
    </cfRule>
    <cfRule type="cellIs" dxfId="17" priority="136" operator="equal">
      <formula>"Moderado"</formula>
    </cfRule>
    <cfRule type="cellIs" dxfId="16" priority="137" operator="equal">
      <formula>"Bajo"</formula>
    </cfRule>
  </conditionalFormatting>
  <conditionalFormatting sqref="AN160:AO160">
    <cfRule type="cellIs" dxfId="15" priority="97" operator="equal">
      <formula>"Extremo"</formula>
    </cfRule>
    <cfRule type="cellIs" dxfId="14" priority="98" operator="equal">
      <formula>"Alto"</formula>
    </cfRule>
    <cfRule type="cellIs" dxfId="13" priority="99" operator="equal">
      <formula>"Moderado"</formula>
    </cfRule>
    <cfRule type="cellIs" dxfId="12" priority="100" operator="equal">
      <formula>"Bajo"</formula>
    </cfRule>
  </conditionalFormatting>
  <conditionalFormatting sqref="AN166:AO166">
    <cfRule type="cellIs" dxfId="11" priority="87" operator="equal">
      <formula>"Extremo"</formula>
    </cfRule>
    <cfRule type="cellIs" dxfId="10" priority="88" operator="equal">
      <formula>"Alto"</formula>
    </cfRule>
    <cfRule type="cellIs" dxfId="9" priority="89" operator="equal">
      <formula>"Moderado"</formula>
    </cfRule>
    <cfRule type="cellIs" dxfId="8" priority="90" operator="equal">
      <formula>"Bajo"</formula>
    </cfRule>
  </conditionalFormatting>
  <conditionalFormatting sqref="AN172:AO172">
    <cfRule type="cellIs" dxfId="7" priority="44" operator="equal">
      <formula>"Extremo"</formula>
    </cfRule>
    <cfRule type="cellIs" dxfId="6" priority="45" operator="equal">
      <formula>"Alto"</formula>
    </cfRule>
    <cfRule type="cellIs" dxfId="5" priority="46" operator="equal">
      <formula>"Moderado"</formula>
    </cfRule>
    <cfRule type="cellIs" dxfId="4" priority="47" operator="equal">
      <formula>"Bajo"</formula>
    </cfRule>
  </conditionalFormatting>
  <conditionalFormatting sqref="AN178:AO178">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dataValidations count="2">
    <dataValidation type="list" allowBlank="1" showInputMessage="1" showErrorMessage="1" sqref="AM8:AM55 AM62:AM152 AM160:AM183" xr:uid="{2850ACF6-2C65-4F23-8DF3-719007D1144D}">
      <formula1>"Activo,Monitoreado,Materializado"</formula1>
    </dataValidation>
    <dataValidation allowBlank="1" showInputMessage="1" showErrorMessage="1" error="Recuerde que las acciones se generan bajo la medida de mitigar el riesgo" sqref="AG16 AF90:AI90 AF123:AI124 AF176:AI176" xr:uid="{46FC59EF-88D5-44B0-8A3D-C174AA63D8F8}"/>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E38" sqref="E38:I45"/>
    </sheetView>
  </sheetViews>
  <sheetFormatPr baseColWidth="10" defaultColWidth="11.42578125" defaultRowHeight="15" x14ac:dyDescent="0.25"/>
  <cols>
    <col min="2" max="39" width="5.7109375" customWidth="1"/>
    <col min="41" max="46" width="5.7109375" customWidth="1"/>
  </cols>
  <sheetData>
    <row r="1" spans="1:99" x14ac:dyDescent="0.2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row>
    <row r="2" spans="1:99" ht="18" customHeight="1" x14ac:dyDescent="0.25">
      <c r="A2" s="40"/>
      <c r="B2" s="216" t="s">
        <v>40</v>
      </c>
      <c r="C2" s="216"/>
      <c r="D2" s="216"/>
      <c r="E2" s="216"/>
      <c r="F2" s="216"/>
      <c r="G2" s="216"/>
      <c r="H2" s="216"/>
      <c r="I2" s="216"/>
      <c r="J2" s="253" t="s">
        <v>41</v>
      </c>
      <c r="K2" s="253"/>
      <c r="L2" s="253"/>
      <c r="M2" s="253"/>
      <c r="N2" s="253"/>
      <c r="O2" s="253"/>
      <c r="P2" s="253"/>
      <c r="Q2" s="253"/>
      <c r="R2" s="253"/>
      <c r="S2" s="253"/>
      <c r="T2" s="253"/>
      <c r="U2" s="253"/>
      <c r="V2" s="253"/>
      <c r="W2" s="253"/>
      <c r="X2" s="253"/>
      <c r="Y2" s="253"/>
      <c r="Z2" s="253"/>
      <c r="AA2" s="253"/>
      <c r="AB2" s="253"/>
      <c r="AC2" s="253"/>
      <c r="AD2" s="253"/>
      <c r="AE2" s="253"/>
      <c r="AF2" s="253"/>
      <c r="AG2" s="253"/>
      <c r="AH2" s="253"/>
      <c r="AI2" s="253"/>
      <c r="AJ2" s="253"/>
      <c r="AK2" s="253"/>
      <c r="AL2" s="253"/>
      <c r="AM2" s="253"/>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row>
    <row r="3" spans="1:99" ht="18.75" customHeight="1" x14ac:dyDescent="0.25">
      <c r="A3" s="40"/>
      <c r="B3" s="216"/>
      <c r="C3" s="216"/>
      <c r="D3" s="216"/>
      <c r="E3" s="216"/>
      <c r="F3" s="216"/>
      <c r="G3" s="216"/>
      <c r="H3" s="216"/>
      <c r="I3" s="216"/>
      <c r="J3" s="253"/>
      <c r="K3" s="253"/>
      <c r="L3" s="253"/>
      <c r="M3" s="253"/>
      <c r="N3" s="253"/>
      <c r="O3" s="253"/>
      <c r="P3" s="253"/>
      <c r="Q3" s="253"/>
      <c r="R3" s="253"/>
      <c r="S3" s="253"/>
      <c r="T3" s="253"/>
      <c r="U3" s="253"/>
      <c r="V3" s="253"/>
      <c r="W3" s="253"/>
      <c r="X3" s="253"/>
      <c r="Y3" s="253"/>
      <c r="Z3" s="253"/>
      <c r="AA3" s="253"/>
      <c r="AB3" s="253"/>
      <c r="AC3" s="253"/>
      <c r="AD3" s="253"/>
      <c r="AE3" s="253"/>
      <c r="AF3" s="253"/>
      <c r="AG3" s="253"/>
      <c r="AH3" s="253"/>
      <c r="AI3" s="253"/>
      <c r="AJ3" s="253"/>
      <c r="AK3" s="253"/>
      <c r="AL3" s="253"/>
      <c r="AM3" s="253"/>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c r="CN3" s="40"/>
      <c r="CO3" s="40"/>
      <c r="CP3" s="40"/>
      <c r="CQ3" s="40"/>
      <c r="CR3" s="40"/>
      <c r="CS3" s="40"/>
      <c r="CT3" s="40"/>
      <c r="CU3" s="40"/>
    </row>
    <row r="4" spans="1:99" ht="15" customHeight="1" x14ac:dyDescent="0.25">
      <c r="A4" s="40"/>
      <c r="B4" s="216"/>
      <c r="C4" s="216"/>
      <c r="D4" s="216"/>
      <c r="E4" s="216"/>
      <c r="F4" s="216"/>
      <c r="G4" s="216"/>
      <c r="H4" s="216"/>
      <c r="I4" s="216"/>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c r="CN4" s="40"/>
      <c r="CO4" s="40"/>
      <c r="CP4" s="40"/>
      <c r="CQ4" s="40"/>
      <c r="CR4" s="40"/>
      <c r="CS4" s="40"/>
      <c r="CT4" s="40"/>
      <c r="CU4" s="40"/>
    </row>
    <row r="5" spans="1:99" ht="15.75" thickBot="1" x14ac:dyDescent="0.3">
      <c r="A5" s="40"/>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CP5" s="40"/>
      <c r="CQ5" s="40"/>
      <c r="CR5" s="40"/>
      <c r="CS5" s="40"/>
      <c r="CT5" s="40"/>
      <c r="CU5" s="40"/>
    </row>
    <row r="6" spans="1:99" ht="15" customHeight="1" x14ac:dyDescent="0.25">
      <c r="A6" s="40"/>
      <c r="B6" s="264" t="s">
        <v>42</v>
      </c>
      <c r="C6" s="264"/>
      <c r="D6" s="265"/>
      <c r="E6" s="254" t="s">
        <v>43</v>
      </c>
      <c r="F6" s="255"/>
      <c r="G6" s="255"/>
      <c r="H6" s="255"/>
      <c r="I6" s="256"/>
      <c r="J6" s="250" t="str">
        <f>IF(AND('Mapa final'!$I$8="Muy Alta",'Mapa final'!$M$8="Leve"),CONCATENATE("R",'Mapa final'!$B$8),"")</f>
        <v/>
      </c>
      <c r="K6" s="251"/>
      <c r="L6" s="251" t="str">
        <f>IF(AND('Mapa final'!$I$14="Muy Alta",'Mapa final'!$M$14="Leve"),CONCATENATE("R",'Mapa final'!$B$14),"")</f>
        <v/>
      </c>
      <c r="M6" s="251"/>
      <c r="N6" s="251" t="str">
        <f>IF(AND('Mapa final'!$I$20="Muy Alta",'Mapa final'!$M$20="Leve"),CONCATENATE("R",'Mapa final'!$B$20),"")</f>
        <v/>
      </c>
      <c r="O6" s="252"/>
      <c r="P6" s="250" t="str">
        <f>IF(AND('Mapa final'!$I$8="Muy Alta",'Mapa final'!$M$8="Menor"),CONCATENATE("R",'Mapa final'!$B$8),"")</f>
        <v/>
      </c>
      <c r="Q6" s="251"/>
      <c r="R6" s="251" t="str">
        <f>IF(AND('Mapa final'!$I$14="Muy Alta",'Mapa final'!$M$14="Menor"),CONCATENATE("R",'Mapa final'!$B$14),"")</f>
        <v/>
      </c>
      <c r="S6" s="251"/>
      <c r="T6" s="251" t="str">
        <f>IF(AND('Mapa final'!$I$20="Muy Alta",'Mapa final'!$M$20="Menor"),CONCATENATE("R",'Mapa final'!$B$20),"")</f>
        <v/>
      </c>
      <c r="U6" s="252"/>
      <c r="V6" s="250" t="str">
        <f>IF(AND('Mapa final'!$I$8="Muy Alta",'Mapa final'!$M$8="Moderado"),CONCATENATE("R",'Mapa final'!$B$8),"")</f>
        <v/>
      </c>
      <c r="W6" s="251"/>
      <c r="X6" s="251" t="str">
        <f>IF(AND('Mapa final'!$I$14="Muy Alta",'Mapa final'!$M$14="Moderado"),CONCATENATE("R",'Mapa final'!$B$14),"")</f>
        <v/>
      </c>
      <c r="Y6" s="251"/>
      <c r="Z6" s="251" t="str">
        <f>IF(AND('Mapa final'!$I$20="Muy Alta",'Mapa final'!$M$20="Moderado"),CONCATENATE("R",'Mapa final'!$B$20),"")</f>
        <v/>
      </c>
      <c r="AA6" s="252"/>
      <c r="AB6" s="250" t="str">
        <f>IF(AND('Mapa final'!$I$8="Muy Alta",'Mapa final'!$M$8="Mayor"),CONCATENATE("R",'Mapa final'!$B$8),"")</f>
        <v/>
      </c>
      <c r="AC6" s="251"/>
      <c r="AD6" s="251" t="str">
        <f>IF(AND('Mapa final'!$I$14="Muy Alta",'Mapa final'!$M$14="Mayor"),CONCATENATE("R",'Mapa final'!$B$14),"")</f>
        <v/>
      </c>
      <c r="AE6" s="251"/>
      <c r="AF6" s="251" t="str">
        <f>IF(AND('Mapa final'!$I$20="Muy Alta",'Mapa final'!$M$20="Mayor"),CONCATENATE("R",'Mapa final'!$B$20),"")</f>
        <v/>
      </c>
      <c r="AG6" s="252"/>
      <c r="AH6" s="241" t="str">
        <f>IF(AND('Mapa final'!$I$8="Muy Alta",'Mapa final'!$M$8="Catastrófico"),CONCATENATE("R",'Mapa final'!$B$8),"")</f>
        <v/>
      </c>
      <c r="AI6" s="242"/>
      <c r="AJ6" s="242" t="str">
        <f>IF(AND('Mapa final'!$I$14="Muy Alta",'Mapa final'!$M$14="Catastrófico"),CONCATENATE("R",'Mapa final'!$B$14),"")</f>
        <v/>
      </c>
      <c r="AK6" s="242"/>
      <c r="AL6" s="242" t="str">
        <f>IF(AND('Mapa final'!$I$20="Muy Alta",'Mapa final'!$M$20="Catastrófico"),CONCATENATE("R",'Mapa final'!$B$20),"")</f>
        <v/>
      </c>
      <c r="AM6" s="243"/>
      <c r="AO6" s="266" t="s">
        <v>44</v>
      </c>
      <c r="AP6" s="267"/>
      <c r="AQ6" s="267"/>
      <c r="AR6" s="267"/>
      <c r="AS6" s="267"/>
      <c r="AT6" s="268"/>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row>
    <row r="7" spans="1:99" ht="15" customHeight="1" x14ac:dyDescent="0.25">
      <c r="A7" s="40"/>
      <c r="B7" s="264"/>
      <c r="C7" s="264"/>
      <c r="D7" s="265"/>
      <c r="E7" s="257"/>
      <c r="F7" s="258"/>
      <c r="G7" s="258"/>
      <c r="H7" s="258"/>
      <c r="I7" s="259"/>
      <c r="J7" s="244"/>
      <c r="K7" s="245"/>
      <c r="L7" s="245"/>
      <c r="M7" s="245"/>
      <c r="N7" s="245"/>
      <c r="O7" s="246"/>
      <c r="P7" s="244"/>
      <c r="Q7" s="245"/>
      <c r="R7" s="245"/>
      <c r="S7" s="245"/>
      <c r="T7" s="245"/>
      <c r="U7" s="246"/>
      <c r="V7" s="244"/>
      <c r="W7" s="245"/>
      <c r="X7" s="245"/>
      <c r="Y7" s="245"/>
      <c r="Z7" s="245"/>
      <c r="AA7" s="246"/>
      <c r="AB7" s="244"/>
      <c r="AC7" s="245"/>
      <c r="AD7" s="245"/>
      <c r="AE7" s="245"/>
      <c r="AF7" s="245"/>
      <c r="AG7" s="246"/>
      <c r="AH7" s="235"/>
      <c r="AI7" s="236"/>
      <c r="AJ7" s="236"/>
      <c r="AK7" s="236"/>
      <c r="AL7" s="236"/>
      <c r="AM7" s="237"/>
      <c r="AN7" s="40"/>
      <c r="AO7" s="269"/>
      <c r="AP7" s="270"/>
      <c r="AQ7" s="270"/>
      <c r="AR7" s="270"/>
      <c r="AS7" s="270"/>
      <c r="AT7" s="271"/>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row>
    <row r="8" spans="1:99" ht="15" customHeight="1" x14ac:dyDescent="0.25">
      <c r="A8" s="40"/>
      <c r="B8" s="264"/>
      <c r="C8" s="264"/>
      <c r="D8" s="265"/>
      <c r="E8" s="257"/>
      <c r="F8" s="258"/>
      <c r="G8" s="258"/>
      <c r="H8" s="258"/>
      <c r="I8" s="259"/>
      <c r="J8" s="244" t="str">
        <f>IF(AND('Mapa final'!$I$26="Muy Alta",'Mapa final'!$M$26="Leve"),CONCATENATE("R",'Mapa final'!$B$26),"")</f>
        <v/>
      </c>
      <c r="K8" s="245"/>
      <c r="L8" s="245" t="str">
        <f>IF(AND('Mapa final'!$I$32="Muy Alta",'Mapa final'!$M$32="Leve"),CONCATENATE("R",'Mapa final'!$B$32),"")</f>
        <v/>
      </c>
      <c r="M8" s="245"/>
      <c r="N8" s="245" t="str">
        <f>IF(AND('Mapa final'!$I$38="Muy Alta",'Mapa final'!$M$38="Leve"),CONCATENATE("R",'Mapa final'!$B$38),"")</f>
        <v/>
      </c>
      <c r="O8" s="246"/>
      <c r="P8" s="244" t="str">
        <f>IF(AND('Mapa final'!$I$26="Muy Alta",'Mapa final'!$M$26="Menor"),CONCATENATE("R",'Mapa final'!$B$26),"")</f>
        <v/>
      </c>
      <c r="Q8" s="245"/>
      <c r="R8" s="245" t="str">
        <f>IF(AND('Mapa final'!$I$32="Muy Alta",'Mapa final'!$M$32="Menor"),CONCATENATE("R",'Mapa final'!$B$32),"")</f>
        <v/>
      </c>
      <c r="S8" s="245"/>
      <c r="T8" s="245" t="str">
        <f>IF(AND('Mapa final'!$I$38="Muy Alta",'Mapa final'!$M$38="Menor"),CONCATENATE("R",'Mapa final'!$B$38),"")</f>
        <v/>
      </c>
      <c r="U8" s="246"/>
      <c r="V8" s="244" t="str">
        <f>IF(AND('Mapa final'!$I$26="Muy Alta",'Mapa final'!$M$26="Moderado"),CONCATENATE("R",'Mapa final'!$B$26),"")</f>
        <v/>
      </c>
      <c r="W8" s="245"/>
      <c r="X8" s="245" t="str">
        <f>IF(AND('Mapa final'!$I$32="Muy Alta",'Mapa final'!$M$32="Moderado"),CONCATENATE("R",'Mapa final'!$B$32),"")</f>
        <v/>
      </c>
      <c r="Y8" s="245"/>
      <c r="Z8" s="245" t="str">
        <f>IF(AND('Mapa final'!$I$38="Muy Alta",'Mapa final'!$M$38="Moderado"),CONCATENATE("R",'Mapa final'!$B$38),"")</f>
        <v/>
      </c>
      <c r="AA8" s="246"/>
      <c r="AB8" s="244" t="str">
        <f>IF(AND('Mapa final'!$I$26="Muy Alta",'Mapa final'!$M$26="Mayor"),CONCATENATE("R",'Mapa final'!$B$26),"")</f>
        <v/>
      </c>
      <c r="AC8" s="245"/>
      <c r="AD8" s="245" t="str">
        <f>IF(AND('Mapa final'!$I$32="Muy Alta",'Mapa final'!$M$32="Mayor"),CONCATENATE("R",'Mapa final'!$B$32),"")</f>
        <v/>
      </c>
      <c r="AE8" s="245"/>
      <c r="AF8" s="245" t="str">
        <f>IF(AND('Mapa final'!$I$38="Muy Alta",'Mapa final'!$M$38="Mayor"),CONCATENATE("R",'Mapa final'!$B$38),"")</f>
        <v/>
      </c>
      <c r="AG8" s="246"/>
      <c r="AH8" s="235" t="str">
        <f>IF(AND('Mapa final'!$I$26="Muy Alta",'Mapa final'!$M$26="Catastrófico"),CONCATENATE("R",'Mapa final'!$B$26),"")</f>
        <v/>
      </c>
      <c r="AI8" s="236"/>
      <c r="AJ8" s="236" t="str">
        <f>IF(AND('Mapa final'!$I$32="Muy Alta",'Mapa final'!$M$32="Catastrófico"),CONCATENATE("R",'Mapa final'!$B$32),"")</f>
        <v/>
      </c>
      <c r="AK8" s="236"/>
      <c r="AL8" s="236" t="str">
        <f>IF(AND('Mapa final'!$I$38="Muy Alta",'Mapa final'!$M$38="Catastrófico"),CONCATENATE("R",'Mapa final'!$B$38),"")</f>
        <v/>
      </c>
      <c r="AM8" s="237"/>
      <c r="AN8" s="40"/>
      <c r="AO8" s="269"/>
      <c r="AP8" s="270"/>
      <c r="AQ8" s="270"/>
      <c r="AR8" s="270"/>
      <c r="AS8" s="270"/>
      <c r="AT8" s="271"/>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row>
    <row r="9" spans="1:99" ht="15" customHeight="1" x14ac:dyDescent="0.25">
      <c r="A9" s="40"/>
      <c r="B9" s="264"/>
      <c r="C9" s="264"/>
      <c r="D9" s="265"/>
      <c r="E9" s="257"/>
      <c r="F9" s="258"/>
      <c r="G9" s="258"/>
      <c r="H9" s="258"/>
      <c r="I9" s="259"/>
      <c r="J9" s="244"/>
      <c r="K9" s="245"/>
      <c r="L9" s="245"/>
      <c r="M9" s="245"/>
      <c r="N9" s="245"/>
      <c r="O9" s="246"/>
      <c r="P9" s="244"/>
      <c r="Q9" s="245"/>
      <c r="R9" s="245"/>
      <c r="S9" s="245"/>
      <c r="T9" s="245"/>
      <c r="U9" s="246"/>
      <c r="V9" s="244"/>
      <c r="W9" s="245"/>
      <c r="X9" s="245"/>
      <c r="Y9" s="245"/>
      <c r="Z9" s="245"/>
      <c r="AA9" s="246"/>
      <c r="AB9" s="244"/>
      <c r="AC9" s="245"/>
      <c r="AD9" s="245"/>
      <c r="AE9" s="245"/>
      <c r="AF9" s="245"/>
      <c r="AG9" s="246"/>
      <c r="AH9" s="235"/>
      <c r="AI9" s="236"/>
      <c r="AJ9" s="236"/>
      <c r="AK9" s="236"/>
      <c r="AL9" s="236"/>
      <c r="AM9" s="237"/>
      <c r="AN9" s="40"/>
      <c r="AO9" s="269"/>
      <c r="AP9" s="270"/>
      <c r="AQ9" s="270"/>
      <c r="AR9" s="270"/>
      <c r="AS9" s="270"/>
      <c r="AT9" s="271"/>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row>
    <row r="10" spans="1:99" ht="15" customHeight="1" x14ac:dyDescent="0.25">
      <c r="A10" s="40"/>
      <c r="B10" s="264"/>
      <c r="C10" s="264"/>
      <c r="D10" s="265"/>
      <c r="E10" s="257"/>
      <c r="F10" s="258"/>
      <c r="G10" s="258"/>
      <c r="H10" s="258"/>
      <c r="I10" s="259"/>
      <c r="J10" s="244" t="str">
        <f>IF(AND('Mapa final'!$I$44="Muy Alta",'Mapa final'!$M$44="Leve"),CONCATENATE("R",'Mapa final'!$B$44),"")</f>
        <v/>
      </c>
      <c r="K10" s="245"/>
      <c r="L10" s="245" t="str">
        <f>IF(AND('Mapa final'!$I$50="Muy Alta",'Mapa final'!$M$50="Leve"),CONCATENATE("R",'Mapa final'!$B$50),"")</f>
        <v/>
      </c>
      <c r="M10" s="245"/>
      <c r="N10" s="245" t="str">
        <f>IF(AND('Mapa final'!$I$56="Muy Alta",'Mapa final'!$M$56="Leve"),CONCATENATE("R",'Mapa final'!$B$56),"")</f>
        <v/>
      </c>
      <c r="O10" s="246"/>
      <c r="P10" s="244" t="str">
        <f>IF(AND('Mapa final'!$I$44="Muy Alta",'Mapa final'!$M$44="Menor"),CONCATENATE("R",'Mapa final'!$B$44),"")</f>
        <v/>
      </c>
      <c r="Q10" s="245"/>
      <c r="R10" s="245" t="str">
        <f>IF(AND('Mapa final'!$I$50="Muy Alta",'Mapa final'!$M$50="Menor"),CONCATENATE("R",'Mapa final'!$B$50),"")</f>
        <v/>
      </c>
      <c r="S10" s="245"/>
      <c r="T10" s="245" t="str">
        <f>IF(AND('Mapa final'!$I$56="Muy Alta",'Mapa final'!$M$56="Menor"),CONCATENATE("R",'Mapa final'!$B$56),"")</f>
        <v/>
      </c>
      <c r="U10" s="246"/>
      <c r="V10" s="244" t="str">
        <f>IF(AND('Mapa final'!$I$44="Muy Alta",'Mapa final'!$M$44="Moderado"),CONCATENATE("R",'Mapa final'!$B$44),"")</f>
        <v/>
      </c>
      <c r="W10" s="245"/>
      <c r="X10" s="245" t="str">
        <f>IF(AND('Mapa final'!$I$50="Muy Alta",'Mapa final'!$M$50="Moderado"),CONCATENATE("R",'Mapa final'!$B$50),"")</f>
        <v/>
      </c>
      <c r="Y10" s="245"/>
      <c r="Z10" s="245" t="str">
        <f>IF(AND('Mapa final'!$I$56="Muy Alta",'Mapa final'!$M$56="Moderado"),CONCATENATE("R",'Mapa final'!$B$56),"")</f>
        <v/>
      </c>
      <c r="AA10" s="246"/>
      <c r="AB10" s="244" t="str">
        <f>IF(AND('Mapa final'!$I$44="Muy Alta",'Mapa final'!$M$44="Mayor"),CONCATENATE("R",'Mapa final'!$B$44),"")</f>
        <v/>
      </c>
      <c r="AC10" s="245"/>
      <c r="AD10" s="245" t="str">
        <f>IF(AND('Mapa final'!$I$50="Muy Alta",'Mapa final'!$M$50="Mayor"),CONCATENATE("R",'Mapa final'!$B$50),"")</f>
        <v/>
      </c>
      <c r="AE10" s="245"/>
      <c r="AF10" s="245" t="str">
        <f>IF(AND('Mapa final'!$I$56="Muy Alta",'Mapa final'!$M$56="Mayor"),CONCATENATE("R",'Mapa final'!$B$56),"")</f>
        <v/>
      </c>
      <c r="AG10" s="246"/>
      <c r="AH10" s="235" t="str">
        <f>IF(AND('Mapa final'!$I$44="Muy Alta",'Mapa final'!$M$44="Catastrófico"),CONCATENATE("R",'Mapa final'!$B$44),"")</f>
        <v/>
      </c>
      <c r="AI10" s="236"/>
      <c r="AJ10" s="236" t="str">
        <f>IF(AND('Mapa final'!$I$50="Muy Alta",'Mapa final'!$M$50="Catastrófico"),CONCATENATE("R",'Mapa final'!$B$50),"")</f>
        <v/>
      </c>
      <c r="AK10" s="236"/>
      <c r="AL10" s="236" t="str">
        <f>IF(AND('Mapa final'!$I$56="Muy Alta",'Mapa final'!$M$56="Catastrófico"),CONCATENATE("R",'Mapa final'!$B$56),"")</f>
        <v/>
      </c>
      <c r="AM10" s="237"/>
      <c r="AN10" s="40"/>
      <c r="AO10" s="269"/>
      <c r="AP10" s="270"/>
      <c r="AQ10" s="270"/>
      <c r="AR10" s="270"/>
      <c r="AS10" s="270"/>
      <c r="AT10" s="271"/>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row>
    <row r="11" spans="1:99" ht="15" customHeight="1" x14ac:dyDescent="0.25">
      <c r="A11" s="40"/>
      <c r="B11" s="264"/>
      <c r="C11" s="264"/>
      <c r="D11" s="265"/>
      <c r="E11" s="257"/>
      <c r="F11" s="258"/>
      <c r="G11" s="258"/>
      <c r="H11" s="258"/>
      <c r="I11" s="259"/>
      <c r="J11" s="244"/>
      <c r="K11" s="245"/>
      <c r="L11" s="245"/>
      <c r="M11" s="245"/>
      <c r="N11" s="245"/>
      <c r="O11" s="246"/>
      <c r="P11" s="244"/>
      <c r="Q11" s="245"/>
      <c r="R11" s="245"/>
      <c r="S11" s="245"/>
      <c r="T11" s="245"/>
      <c r="U11" s="246"/>
      <c r="V11" s="244"/>
      <c r="W11" s="245"/>
      <c r="X11" s="245"/>
      <c r="Y11" s="245"/>
      <c r="Z11" s="245"/>
      <c r="AA11" s="246"/>
      <c r="AB11" s="244"/>
      <c r="AC11" s="245"/>
      <c r="AD11" s="245"/>
      <c r="AE11" s="245"/>
      <c r="AF11" s="245"/>
      <c r="AG11" s="246"/>
      <c r="AH11" s="235"/>
      <c r="AI11" s="236"/>
      <c r="AJ11" s="236"/>
      <c r="AK11" s="236"/>
      <c r="AL11" s="236"/>
      <c r="AM11" s="237"/>
      <c r="AN11" s="40"/>
      <c r="AO11" s="269"/>
      <c r="AP11" s="270"/>
      <c r="AQ11" s="270"/>
      <c r="AR11" s="270"/>
      <c r="AS11" s="270"/>
      <c r="AT11" s="271"/>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row>
    <row r="12" spans="1:99" ht="15" customHeight="1" x14ac:dyDescent="0.25">
      <c r="A12" s="40"/>
      <c r="B12" s="264"/>
      <c r="C12" s="264"/>
      <c r="D12" s="265"/>
      <c r="E12" s="257"/>
      <c r="F12" s="258"/>
      <c r="G12" s="258"/>
      <c r="H12" s="258"/>
      <c r="I12" s="259"/>
      <c r="J12" s="244" t="e">
        <f>IF(AND('Mapa final'!#REF!="Muy Alta",'Mapa final'!#REF!="Leve"),CONCATENATE("R",'Mapa final'!#REF!),"")</f>
        <v>#REF!</v>
      </c>
      <c r="K12" s="245"/>
      <c r="L12" s="245" t="str">
        <f>IF(AND('Mapa final'!$I$184="Muy Alta",'Mapa final'!$M$184="Leve"),CONCATENATE("R",'Mapa final'!#REF!),"")</f>
        <v/>
      </c>
      <c r="M12" s="245"/>
      <c r="N12" s="245" t="str">
        <f>IF(AND('Mapa final'!$I$190="Muy Alta",'Mapa final'!$M$190="Leve"),CONCATENATE("R",'Mapa final'!$B$190),"")</f>
        <v/>
      </c>
      <c r="O12" s="246"/>
      <c r="P12" s="244" t="e">
        <f>IF(AND('Mapa final'!#REF!="Muy Alta",'Mapa final'!#REF!="Menor"),CONCATENATE("R",'Mapa final'!#REF!),"")</f>
        <v>#REF!</v>
      </c>
      <c r="Q12" s="245"/>
      <c r="R12" s="245" t="str">
        <f>IF(AND('Mapa final'!$I$184="Muy Alta",'Mapa final'!$M$184="Menor"),CONCATENATE("R",'Mapa final'!#REF!),"")</f>
        <v/>
      </c>
      <c r="S12" s="245"/>
      <c r="T12" s="245" t="str">
        <f>IF(AND('Mapa final'!$I$190="Muy Alta",'Mapa final'!$M$190="Menor"),CONCATENATE("R",'Mapa final'!$B$190),"")</f>
        <v/>
      </c>
      <c r="U12" s="246"/>
      <c r="V12" s="244" t="e">
        <f>IF(AND('Mapa final'!#REF!="Muy Alta",'Mapa final'!#REF!="Moderado"),CONCATENATE("R",'Mapa final'!#REF!),"")</f>
        <v>#REF!</v>
      </c>
      <c r="W12" s="245"/>
      <c r="X12" s="245" t="str">
        <f>IF(AND('Mapa final'!$I$184="Muy Alta",'Mapa final'!$M$184="Moderado"),CONCATENATE("R",'Mapa final'!#REF!),"")</f>
        <v/>
      </c>
      <c r="Y12" s="245"/>
      <c r="Z12" s="245" t="str">
        <f>IF(AND('Mapa final'!$I$190="Muy Alta",'Mapa final'!$M$190="Moderado"),CONCATENATE("R",'Mapa final'!$B$190),"")</f>
        <v/>
      </c>
      <c r="AA12" s="246"/>
      <c r="AB12" s="244" t="e">
        <f>IF(AND('Mapa final'!#REF!="Muy Alta",'Mapa final'!#REF!="Mayor"),CONCATENATE("R",'Mapa final'!#REF!),"")</f>
        <v>#REF!</v>
      </c>
      <c r="AC12" s="245"/>
      <c r="AD12" s="245" t="str">
        <f>IF(AND('Mapa final'!$I$184="Muy Alta",'Mapa final'!$M$184="Mayor"),CONCATENATE("R",'Mapa final'!#REF!),"")</f>
        <v/>
      </c>
      <c r="AE12" s="245"/>
      <c r="AF12" s="245" t="str">
        <f>IF(AND('Mapa final'!$I$190="Muy Alta",'Mapa final'!$M$190="Mayor"),CONCATENATE("R",'Mapa final'!$B$190),"")</f>
        <v/>
      </c>
      <c r="AG12" s="246"/>
      <c r="AH12" s="235" t="e">
        <f>IF(AND('Mapa final'!#REF!="Muy Alta",'Mapa final'!#REF!="Catastrófico"),CONCATENATE("R",'Mapa final'!#REF!),"")</f>
        <v>#REF!</v>
      </c>
      <c r="AI12" s="236"/>
      <c r="AJ12" s="236" t="str">
        <f>IF(AND('Mapa final'!$I$184="Muy Alta",'Mapa final'!$M$184="Catastrófico"),CONCATENATE("R",'Mapa final'!#REF!),"")</f>
        <v/>
      </c>
      <c r="AK12" s="236"/>
      <c r="AL12" s="236" t="str">
        <f>IF(AND('Mapa final'!$I$190="Muy Alta",'Mapa final'!$M$190="Catastrófico"),CONCATENATE("R",'Mapa final'!$B$190),"")</f>
        <v/>
      </c>
      <c r="AM12" s="237"/>
      <c r="AN12" s="40"/>
      <c r="AO12" s="269"/>
      <c r="AP12" s="270"/>
      <c r="AQ12" s="270"/>
      <c r="AR12" s="270"/>
      <c r="AS12" s="270"/>
      <c r="AT12" s="271"/>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row>
    <row r="13" spans="1:99" ht="15.75" customHeight="1" thickBot="1" x14ac:dyDescent="0.3">
      <c r="A13" s="40"/>
      <c r="B13" s="264"/>
      <c r="C13" s="264"/>
      <c r="D13" s="265"/>
      <c r="E13" s="260"/>
      <c r="F13" s="261"/>
      <c r="G13" s="261"/>
      <c r="H13" s="261"/>
      <c r="I13" s="262"/>
      <c r="J13" s="244"/>
      <c r="K13" s="245"/>
      <c r="L13" s="245"/>
      <c r="M13" s="245"/>
      <c r="N13" s="245"/>
      <c r="O13" s="246"/>
      <c r="P13" s="244"/>
      <c r="Q13" s="245"/>
      <c r="R13" s="245"/>
      <c r="S13" s="245"/>
      <c r="T13" s="245"/>
      <c r="U13" s="246"/>
      <c r="V13" s="244"/>
      <c r="W13" s="245"/>
      <c r="X13" s="245"/>
      <c r="Y13" s="245"/>
      <c r="Z13" s="245"/>
      <c r="AA13" s="246"/>
      <c r="AB13" s="244"/>
      <c r="AC13" s="245"/>
      <c r="AD13" s="245"/>
      <c r="AE13" s="245"/>
      <c r="AF13" s="245"/>
      <c r="AG13" s="246"/>
      <c r="AH13" s="238"/>
      <c r="AI13" s="239"/>
      <c r="AJ13" s="239"/>
      <c r="AK13" s="239"/>
      <c r="AL13" s="239"/>
      <c r="AM13" s="240"/>
      <c r="AN13" s="40"/>
      <c r="AO13" s="272"/>
      <c r="AP13" s="273"/>
      <c r="AQ13" s="273"/>
      <c r="AR13" s="273"/>
      <c r="AS13" s="273"/>
      <c r="AT13" s="274"/>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row>
    <row r="14" spans="1:99" ht="15" customHeight="1" x14ac:dyDescent="0.25">
      <c r="A14" s="40"/>
      <c r="B14" s="264"/>
      <c r="C14" s="264"/>
      <c r="D14" s="265"/>
      <c r="E14" s="254" t="s">
        <v>45</v>
      </c>
      <c r="F14" s="255"/>
      <c r="G14" s="255"/>
      <c r="H14" s="255"/>
      <c r="I14" s="255"/>
      <c r="J14" s="232" t="str">
        <f>IF(AND('Mapa final'!$I$8="Alta",'Mapa final'!$M$8="Leve"),CONCATENATE("R",'Mapa final'!$B$8),"")</f>
        <v/>
      </c>
      <c r="K14" s="233"/>
      <c r="L14" s="233" t="str">
        <f>IF(AND('Mapa final'!$I$14="Alta",'Mapa final'!$M$14="Leve"),CONCATENATE("R",'Mapa final'!$B$14),"")</f>
        <v/>
      </c>
      <c r="M14" s="233"/>
      <c r="N14" s="233" t="str">
        <f>IF(AND('Mapa final'!$I$20="Alta",'Mapa final'!$M$20="Leve"),CONCATENATE("R",'Mapa final'!$B$20),"")</f>
        <v/>
      </c>
      <c r="O14" s="234"/>
      <c r="P14" s="232" t="str">
        <f>IF(AND('Mapa final'!$I$8="Alta",'Mapa final'!$M$8="Menor"),CONCATENATE("R",'Mapa final'!$B$8),"")</f>
        <v/>
      </c>
      <c r="Q14" s="233"/>
      <c r="R14" s="233" t="str">
        <f>IF(AND('Mapa final'!$I$14="Alta",'Mapa final'!$M$14="Menor"),CONCATENATE("R",'Mapa final'!$B$14),"")</f>
        <v/>
      </c>
      <c r="S14" s="233"/>
      <c r="T14" s="233" t="str">
        <f>IF(AND('Mapa final'!$I$20="Alta",'Mapa final'!$M$20="Menor"),CONCATENATE("R",'Mapa final'!$B$20),"")</f>
        <v/>
      </c>
      <c r="U14" s="234"/>
      <c r="V14" s="250" t="str">
        <f>IF(AND('Mapa final'!$I$8="Alta",'Mapa final'!$M$8="Moderado"),CONCATENATE("R",'Mapa final'!$B$8),"")</f>
        <v/>
      </c>
      <c r="W14" s="251"/>
      <c r="X14" s="251" t="str">
        <f>IF(AND('Mapa final'!$I$14="Alta",'Mapa final'!$M$14="Moderado"),CONCATENATE("R",'Mapa final'!$B$14),"")</f>
        <v/>
      </c>
      <c r="Y14" s="251"/>
      <c r="Z14" s="251" t="str">
        <f>IF(AND('Mapa final'!$I$20="Alta",'Mapa final'!$M$20="Moderado"),CONCATENATE("R",'Mapa final'!$B$20),"")</f>
        <v/>
      </c>
      <c r="AA14" s="252"/>
      <c r="AB14" s="250" t="str">
        <f>IF(AND('Mapa final'!$I$8="Alta",'Mapa final'!$M$8="Mayor"),CONCATENATE("R",'Mapa final'!$B$8),"")</f>
        <v/>
      </c>
      <c r="AC14" s="251"/>
      <c r="AD14" s="251" t="str">
        <f>IF(AND('Mapa final'!$I$14="Alta",'Mapa final'!$M$14="Mayor"),CONCATENATE("R",'Mapa final'!$B$14),"")</f>
        <v/>
      </c>
      <c r="AE14" s="251"/>
      <c r="AF14" s="251" t="str">
        <f>IF(AND('Mapa final'!$I$20="Alta",'Mapa final'!$M$20="Mayor"),CONCATENATE("R",'Mapa final'!$B$20),"")</f>
        <v/>
      </c>
      <c r="AG14" s="252"/>
      <c r="AH14" s="241" t="str">
        <f>IF(AND('Mapa final'!$I$8="Alta",'Mapa final'!$M$8="Catastrófico"),CONCATENATE("R",'Mapa final'!$B$8),"")</f>
        <v/>
      </c>
      <c r="AI14" s="242"/>
      <c r="AJ14" s="242" t="str">
        <f>IF(AND('Mapa final'!$I$14="Alta",'Mapa final'!$M$14="Catastrófico"),CONCATENATE("R",'Mapa final'!$B$14),"")</f>
        <v/>
      </c>
      <c r="AK14" s="242"/>
      <c r="AL14" s="242" t="str">
        <f>IF(AND('Mapa final'!$I$20="Alta",'Mapa final'!$M$20="Catastrófico"),CONCATENATE("R",'Mapa final'!$B$20),"")</f>
        <v/>
      </c>
      <c r="AM14" s="243"/>
      <c r="AN14" s="40"/>
      <c r="AO14" s="275" t="s">
        <v>46</v>
      </c>
      <c r="AP14" s="276"/>
      <c r="AQ14" s="276"/>
      <c r="AR14" s="276"/>
      <c r="AS14" s="276"/>
      <c r="AT14" s="277"/>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row>
    <row r="15" spans="1:99" ht="15" customHeight="1" x14ac:dyDescent="0.25">
      <c r="A15" s="40"/>
      <c r="B15" s="264"/>
      <c r="C15" s="264"/>
      <c r="D15" s="265"/>
      <c r="E15" s="257"/>
      <c r="F15" s="258"/>
      <c r="G15" s="258"/>
      <c r="H15" s="258"/>
      <c r="I15" s="258"/>
      <c r="J15" s="226"/>
      <c r="K15" s="227"/>
      <c r="L15" s="227"/>
      <c r="M15" s="227"/>
      <c r="N15" s="227"/>
      <c r="O15" s="228"/>
      <c r="P15" s="226"/>
      <c r="Q15" s="227"/>
      <c r="R15" s="227"/>
      <c r="S15" s="227"/>
      <c r="T15" s="227"/>
      <c r="U15" s="228"/>
      <c r="V15" s="244"/>
      <c r="W15" s="245"/>
      <c r="X15" s="245"/>
      <c r="Y15" s="245"/>
      <c r="Z15" s="245"/>
      <c r="AA15" s="246"/>
      <c r="AB15" s="244"/>
      <c r="AC15" s="245"/>
      <c r="AD15" s="245"/>
      <c r="AE15" s="245"/>
      <c r="AF15" s="245"/>
      <c r="AG15" s="246"/>
      <c r="AH15" s="235"/>
      <c r="AI15" s="236"/>
      <c r="AJ15" s="236"/>
      <c r="AK15" s="236"/>
      <c r="AL15" s="236"/>
      <c r="AM15" s="237"/>
      <c r="AN15" s="40"/>
      <c r="AO15" s="278"/>
      <c r="AP15" s="279"/>
      <c r="AQ15" s="279"/>
      <c r="AR15" s="279"/>
      <c r="AS15" s="279"/>
      <c r="AT15" s="28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row>
    <row r="16" spans="1:99" ht="15" customHeight="1" x14ac:dyDescent="0.25">
      <c r="A16" s="40"/>
      <c r="B16" s="264"/>
      <c r="C16" s="264"/>
      <c r="D16" s="265"/>
      <c r="E16" s="257"/>
      <c r="F16" s="258"/>
      <c r="G16" s="258"/>
      <c r="H16" s="258"/>
      <c r="I16" s="258"/>
      <c r="J16" s="226" t="str">
        <f>IF(AND('Mapa final'!$I$26="Alta",'Mapa final'!$M$26="Leve"),CONCATENATE("R",'Mapa final'!$B$26),"")</f>
        <v/>
      </c>
      <c r="K16" s="227"/>
      <c r="L16" s="227" t="str">
        <f>IF(AND('Mapa final'!$I$32="Alta",'Mapa final'!$M$32="Leve"),CONCATENATE("R",'Mapa final'!$B$32),"")</f>
        <v/>
      </c>
      <c r="M16" s="227"/>
      <c r="N16" s="227" t="str">
        <f>IF(AND('Mapa final'!$I$38="Alta",'Mapa final'!$M$38="Leve"),CONCATENATE("R",'Mapa final'!$B$38),"")</f>
        <v/>
      </c>
      <c r="O16" s="228"/>
      <c r="P16" s="226" t="str">
        <f>IF(AND('Mapa final'!$I$26="Alta",'Mapa final'!$M$26="Menor"),CONCATENATE("R",'Mapa final'!$B$26),"")</f>
        <v/>
      </c>
      <c r="Q16" s="227"/>
      <c r="R16" s="227" t="str">
        <f>IF(AND('Mapa final'!$I$32="Alta",'Mapa final'!$M$32="Menor"),CONCATENATE("R",'Mapa final'!$B$32),"")</f>
        <v/>
      </c>
      <c r="S16" s="227"/>
      <c r="T16" s="227" t="str">
        <f>IF(AND('Mapa final'!$I$38="Alta",'Mapa final'!$M$38="Menor"),CONCATENATE("R",'Mapa final'!$B$38),"")</f>
        <v/>
      </c>
      <c r="U16" s="228"/>
      <c r="V16" s="244" t="str">
        <f>IF(AND('Mapa final'!$I$26="Alta",'Mapa final'!$M$26="Moderado"),CONCATENATE("R",'Mapa final'!$B$26),"")</f>
        <v/>
      </c>
      <c r="W16" s="245"/>
      <c r="X16" s="245" t="str">
        <f>IF(AND('Mapa final'!$I$32="Alta",'Mapa final'!$M$32="Moderado"),CONCATENATE("R",'Mapa final'!$B$32),"")</f>
        <v/>
      </c>
      <c r="Y16" s="245"/>
      <c r="Z16" s="245" t="str">
        <f>IF(AND('Mapa final'!$I$38="Alta",'Mapa final'!$M$38="Moderado"),CONCATENATE("R",'Mapa final'!$B$38),"")</f>
        <v/>
      </c>
      <c r="AA16" s="246"/>
      <c r="AB16" s="244" t="str">
        <f>IF(AND('Mapa final'!$I$26="Alta",'Mapa final'!$M$26="Mayor"),CONCATENATE("R",'Mapa final'!$B$26),"")</f>
        <v/>
      </c>
      <c r="AC16" s="245"/>
      <c r="AD16" s="245" t="str">
        <f>IF(AND('Mapa final'!$I$32="Alta",'Mapa final'!$M$32="Mayor"),CONCATENATE("R",'Mapa final'!$B$32),"")</f>
        <v/>
      </c>
      <c r="AE16" s="245"/>
      <c r="AF16" s="245" t="str">
        <f>IF(AND('Mapa final'!$I$38="Alta",'Mapa final'!$M$38="Mayor"),CONCATENATE("R",'Mapa final'!$B$38),"")</f>
        <v/>
      </c>
      <c r="AG16" s="246"/>
      <c r="AH16" s="235" t="str">
        <f>IF(AND('Mapa final'!$I$26="Alta",'Mapa final'!$M$26="Catastrófico"),CONCATENATE("R",'Mapa final'!$B$26),"")</f>
        <v/>
      </c>
      <c r="AI16" s="236"/>
      <c r="AJ16" s="236" t="str">
        <f>IF(AND('Mapa final'!$I$32="Alta",'Mapa final'!$M$32="Catastrófico"),CONCATENATE("R",'Mapa final'!$B$32),"")</f>
        <v/>
      </c>
      <c r="AK16" s="236"/>
      <c r="AL16" s="236" t="str">
        <f>IF(AND('Mapa final'!$I$38="Alta",'Mapa final'!$M$38="Catastrófico"),CONCATENATE("R",'Mapa final'!$B$38),"")</f>
        <v/>
      </c>
      <c r="AM16" s="237"/>
      <c r="AN16" s="40"/>
      <c r="AO16" s="278"/>
      <c r="AP16" s="279"/>
      <c r="AQ16" s="279"/>
      <c r="AR16" s="279"/>
      <c r="AS16" s="279"/>
      <c r="AT16" s="28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row>
    <row r="17" spans="1:80" ht="15" customHeight="1" x14ac:dyDescent="0.25">
      <c r="A17" s="40"/>
      <c r="B17" s="264"/>
      <c r="C17" s="264"/>
      <c r="D17" s="265"/>
      <c r="E17" s="257"/>
      <c r="F17" s="258"/>
      <c r="G17" s="258"/>
      <c r="H17" s="258"/>
      <c r="I17" s="258"/>
      <c r="J17" s="226"/>
      <c r="K17" s="227"/>
      <c r="L17" s="227"/>
      <c r="M17" s="227"/>
      <c r="N17" s="227"/>
      <c r="O17" s="228"/>
      <c r="P17" s="226"/>
      <c r="Q17" s="227"/>
      <c r="R17" s="227"/>
      <c r="S17" s="227"/>
      <c r="T17" s="227"/>
      <c r="U17" s="228"/>
      <c r="V17" s="244"/>
      <c r="W17" s="245"/>
      <c r="X17" s="245"/>
      <c r="Y17" s="245"/>
      <c r="Z17" s="245"/>
      <c r="AA17" s="246"/>
      <c r="AB17" s="244"/>
      <c r="AC17" s="245"/>
      <c r="AD17" s="245"/>
      <c r="AE17" s="245"/>
      <c r="AF17" s="245"/>
      <c r="AG17" s="246"/>
      <c r="AH17" s="235"/>
      <c r="AI17" s="236"/>
      <c r="AJ17" s="236"/>
      <c r="AK17" s="236"/>
      <c r="AL17" s="236"/>
      <c r="AM17" s="237"/>
      <c r="AN17" s="40"/>
      <c r="AO17" s="278"/>
      <c r="AP17" s="279"/>
      <c r="AQ17" s="279"/>
      <c r="AR17" s="279"/>
      <c r="AS17" s="279"/>
      <c r="AT17" s="280"/>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c r="BY17" s="40"/>
      <c r="BZ17" s="40"/>
      <c r="CA17" s="40"/>
      <c r="CB17" s="40"/>
    </row>
    <row r="18" spans="1:80" ht="15" customHeight="1" x14ac:dyDescent="0.25">
      <c r="A18" s="40"/>
      <c r="B18" s="264"/>
      <c r="C18" s="264"/>
      <c r="D18" s="265"/>
      <c r="E18" s="257"/>
      <c r="F18" s="258"/>
      <c r="G18" s="258"/>
      <c r="H18" s="258"/>
      <c r="I18" s="258"/>
      <c r="J18" s="226" t="str">
        <f>IF(AND('Mapa final'!$I$44="Alta",'Mapa final'!$M$44="Leve"),CONCATENATE("R",'Mapa final'!$B$44),"")</f>
        <v/>
      </c>
      <c r="K18" s="227"/>
      <c r="L18" s="227" t="str">
        <f>IF(AND('Mapa final'!$I$50="Alta",'Mapa final'!$M$50="Leve"),CONCATENATE("R",'Mapa final'!$B$50),"")</f>
        <v/>
      </c>
      <c r="M18" s="227"/>
      <c r="N18" s="227" t="str">
        <f>IF(AND('Mapa final'!$I$56="Alta",'Mapa final'!$M$56="Leve"),CONCATENATE("R",'Mapa final'!$B$56),"")</f>
        <v/>
      </c>
      <c r="O18" s="228"/>
      <c r="P18" s="226" t="str">
        <f>IF(AND('Mapa final'!$I$44="Alta",'Mapa final'!$M$44="Menor"),CONCATENATE("R",'Mapa final'!$B$44),"")</f>
        <v/>
      </c>
      <c r="Q18" s="227"/>
      <c r="R18" s="227" t="str">
        <f>IF(AND('Mapa final'!$I$50="Alta",'Mapa final'!$M$50="Menor"),CONCATENATE("R",'Mapa final'!$B$50),"")</f>
        <v/>
      </c>
      <c r="S18" s="227"/>
      <c r="T18" s="227" t="str">
        <f>IF(AND('Mapa final'!$I$56="Alta",'Mapa final'!$M$56="Menor"),CONCATENATE("R",'Mapa final'!$B$56),"")</f>
        <v/>
      </c>
      <c r="U18" s="228"/>
      <c r="V18" s="244" t="str">
        <f>IF(AND('Mapa final'!$I$44="Alta",'Mapa final'!$M$44="Moderado"),CONCATENATE("R",'Mapa final'!$B$44),"")</f>
        <v/>
      </c>
      <c r="W18" s="245"/>
      <c r="X18" s="245" t="str">
        <f>IF(AND('Mapa final'!$I$50="Alta",'Mapa final'!$M$50="Moderado"),CONCATENATE("R",'Mapa final'!$B$50),"")</f>
        <v/>
      </c>
      <c r="Y18" s="245"/>
      <c r="Z18" s="245" t="str">
        <f>IF(AND('Mapa final'!$I$56="Alta",'Mapa final'!$M$56="Moderado"),CONCATENATE("R",'Mapa final'!$B$56),"")</f>
        <v/>
      </c>
      <c r="AA18" s="246"/>
      <c r="AB18" s="244" t="str">
        <f>IF(AND('Mapa final'!$I$44="Alta",'Mapa final'!$M$44="Mayor"),CONCATENATE("R",'Mapa final'!$B$44),"")</f>
        <v/>
      </c>
      <c r="AC18" s="245"/>
      <c r="AD18" s="245" t="str">
        <f>IF(AND('Mapa final'!$I$50="Alta",'Mapa final'!$M$50="Mayor"),CONCATENATE("R",'Mapa final'!$B$50),"")</f>
        <v/>
      </c>
      <c r="AE18" s="245"/>
      <c r="AF18" s="245" t="str">
        <f>IF(AND('Mapa final'!$I$56="Alta",'Mapa final'!$M$56="Mayor"),CONCATENATE("R",'Mapa final'!$B$56),"")</f>
        <v/>
      </c>
      <c r="AG18" s="246"/>
      <c r="AH18" s="235" t="str">
        <f>IF(AND('Mapa final'!$I$44="Alta",'Mapa final'!$M$44="Catastrófico"),CONCATENATE("R",'Mapa final'!$B$44),"")</f>
        <v/>
      </c>
      <c r="AI18" s="236"/>
      <c r="AJ18" s="236" t="str">
        <f>IF(AND('Mapa final'!$I$50="Alta",'Mapa final'!$M$50="Catastrófico"),CONCATENATE("R",'Mapa final'!$B$50),"")</f>
        <v/>
      </c>
      <c r="AK18" s="236"/>
      <c r="AL18" s="236" t="str">
        <f>IF(AND('Mapa final'!$I$56="Alta",'Mapa final'!$M$56="Catastrófico"),CONCATENATE("R",'Mapa final'!$B$56),"")</f>
        <v/>
      </c>
      <c r="AM18" s="237"/>
      <c r="AN18" s="40"/>
      <c r="AO18" s="278"/>
      <c r="AP18" s="279"/>
      <c r="AQ18" s="279"/>
      <c r="AR18" s="279"/>
      <c r="AS18" s="279"/>
      <c r="AT18" s="28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row>
    <row r="19" spans="1:80" ht="15" customHeight="1" x14ac:dyDescent="0.25">
      <c r="A19" s="40"/>
      <c r="B19" s="264"/>
      <c r="C19" s="264"/>
      <c r="D19" s="265"/>
      <c r="E19" s="257"/>
      <c r="F19" s="258"/>
      <c r="G19" s="258"/>
      <c r="H19" s="258"/>
      <c r="I19" s="258"/>
      <c r="J19" s="226"/>
      <c r="K19" s="227"/>
      <c r="L19" s="227"/>
      <c r="M19" s="227"/>
      <c r="N19" s="227"/>
      <c r="O19" s="228"/>
      <c r="P19" s="226"/>
      <c r="Q19" s="227"/>
      <c r="R19" s="227"/>
      <c r="S19" s="227"/>
      <c r="T19" s="227"/>
      <c r="U19" s="228"/>
      <c r="V19" s="244"/>
      <c r="W19" s="245"/>
      <c r="X19" s="245"/>
      <c r="Y19" s="245"/>
      <c r="Z19" s="245"/>
      <c r="AA19" s="246"/>
      <c r="AB19" s="244"/>
      <c r="AC19" s="245"/>
      <c r="AD19" s="245"/>
      <c r="AE19" s="245"/>
      <c r="AF19" s="245"/>
      <c r="AG19" s="246"/>
      <c r="AH19" s="235"/>
      <c r="AI19" s="236"/>
      <c r="AJ19" s="236"/>
      <c r="AK19" s="236"/>
      <c r="AL19" s="236"/>
      <c r="AM19" s="237"/>
      <c r="AN19" s="40"/>
      <c r="AO19" s="278"/>
      <c r="AP19" s="279"/>
      <c r="AQ19" s="279"/>
      <c r="AR19" s="279"/>
      <c r="AS19" s="279"/>
      <c r="AT19" s="280"/>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c r="BY19" s="40"/>
      <c r="BZ19" s="40"/>
      <c r="CA19" s="40"/>
      <c r="CB19" s="40"/>
    </row>
    <row r="20" spans="1:80" ht="15" customHeight="1" x14ac:dyDescent="0.25">
      <c r="A20" s="40"/>
      <c r="B20" s="264"/>
      <c r="C20" s="264"/>
      <c r="D20" s="265"/>
      <c r="E20" s="257"/>
      <c r="F20" s="258"/>
      <c r="G20" s="258"/>
      <c r="H20" s="258"/>
      <c r="I20" s="258"/>
      <c r="J20" s="226" t="e">
        <f>IF(AND('Mapa final'!#REF!="Alta",'Mapa final'!#REF!="Leve"),CONCATENATE("R",'Mapa final'!#REF!),"")</f>
        <v>#REF!</v>
      </c>
      <c r="K20" s="227"/>
      <c r="L20" s="227" t="str">
        <f>IF(AND('Mapa final'!$I$184="Alta",'Mapa final'!$M$184="Leve"),CONCATENATE("R",'Mapa final'!#REF!),"")</f>
        <v/>
      </c>
      <c r="M20" s="227"/>
      <c r="N20" s="227" t="str">
        <f>IF(AND('Mapa final'!$I$190="Alta",'Mapa final'!$M$190="Leve"),CONCATENATE("R",'Mapa final'!$B$190),"")</f>
        <v/>
      </c>
      <c r="O20" s="228"/>
      <c r="P20" s="226" t="e">
        <f>IF(AND('Mapa final'!#REF!="Alta",'Mapa final'!#REF!="Menor"),CONCATENATE("R",'Mapa final'!#REF!),"")</f>
        <v>#REF!</v>
      </c>
      <c r="Q20" s="227"/>
      <c r="R20" s="227" t="str">
        <f>IF(AND('Mapa final'!$I$184="Alta",'Mapa final'!$M$184="Menor"),CONCATENATE("R",'Mapa final'!#REF!),"")</f>
        <v/>
      </c>
      <c r="S20" s="227"/>
      <c r="T20" s="227" t="str">
        <f>IF(AND('Mapa final'!$I$190="Alta",'Mapa final'!$M$190="Menor"),CONCATENATE("R",'Mapa final'!$B$190),"")</f>
        <v/>
      </c>
      <c r="U20" s="228"/>
      <c r="V20" s="244" t="e">
        <f>IF(AND('Mapa final'!#REF!="Alta",'Mapa final'!#REF!="Moderado"),CONCATENATE("R",'Mapa final'!#REF!),"")</f>
        <v>#REF!</v>
      </c>
      <c r="W20" s="245"/>
      <c r="X20" s="245" t="str">
        <f>IF(AND('Mapa final'!$I$184="Alta",'Mapa final'!$M$184="Moderado"),CONCATENATE("R",'Mapa final'!#REF!),"")</f>
        <v/>
      </c>
      <c r="Y20" s="245"/>
      <c r="Z20" s="245" t="str">
        <f>IF(AND('Mapa final'!$I$190="Alta",'Mapa final'!$M$190="Moderado"),CONCATENATE("R",'Mapa final'!$B$190),"")</f>
        <v/>
      </c>
      <c r="AA20" s="246"/>
      <c r="AB20" s="244" t="e">
        <f>IF(AND('Mapa final'!#REF!="Alta",'Mapa final'!#REF!="Mayor"),CONCATENATE("R",'Mapa final'!#REF!),"")</f>
        <v>#REF!</v>
      </c>
      <c r="AC20" s="245"/>
      <c r="AD20" s="245" t="str">
        <f>IF(AND('Mapa final'!$I$184="Alta",'Mapa final'!$M$184="Mayor"),CONCATENATE("R",'Mapa final'!#REF!),"")</f>
        <v/>
      </c>
      <c r="AE20" s="245"/>
      <c r="AF20" s="245" t="str">
        <f>IF(AND('Mapa final'!$I$190="Alta",'Mapa final'!$M$190="Mayor"),CONCATENATE("R",'Mapa final'!$B$190),"")</f>
        <v/>
      </c>
      <c r="AG20" s="246"/>
      <c r="AH20" s="235" t="e">
        <f>IF(AND('Mapa final'!#REF!="Alta",'Mapa final'!#REF!="Catastrófico"),CONCATENATE("R",'Mapa final'!#REF!),"")</f>
        <v>#REF!</v>
      </c>
      <c r="AI20" s="236"/>
      <c r="AJ20" s="236" t="str">
        <f>IF(AND('Mapa final'!$I$184="Alta",'Mapa final'!$M$184="Catastrófico"),CONCATENATE("R",'Mapa final'!#REF!),"")</f>
        <v/>
      </c>
      <c r="AK20" s="236"/>
      <c r="AL20" s="236" t="str">
        <f>IF(AND('Mapa final'!$I$190="Alta",'Mapa final'!$M$190="Catastrófico"),CONCATENATE("R",'Mapa final'!$B$190),"")</f>
        <v/>
      </c>
      <c r="AM20" s="237"/>
      <c r="AN20" s="40"/>
      <c r="AO20" s="278"/>
      <c r="AP20" s="279"/>
      <c r="AQ20" s="279"/>
      <c r="AR20" s="279"/>
      <c r="AS20" s="279"/>
      <c r="AT20" s="280"/>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row>
    <row r="21" spans="1:80" ht="15.75" customHeight="1" thickBot="1" x14ac:dyDescent="0.3">
      <c r="A21" s="40"/>
      <c r="B21" s="264"/>
      <c r="C21" s="264"/>
      <c r="D21" s="265"/>
      <c r="E21" s="260"/>
      <c r="F21" s="261"/>
      <c r="G21" s="261"/>
      <c r="H21" s="261"/>
      <c r="I21" s="261"/>
      <c r="J21" s="229"/>
      <c r="K21" s="230"/>
      <c r="L21" s="230"/>
      <c r="M21" s="230"/>
      <c r="N21" s="230"/>
      <c r="O21" s="231"/>
      <c r="P21" s="229"/>
      <c r="Q21" s="230"/>
      <c r="R21" s="230"/>
      <c r="S21" s="230"/>
      <c r="T21" s="230"/>
      <c r="U21" s="231"/>
      <c r="V21" s="247"/>
      <c r="W21" s="248"/>
      <c r="X21" s="248"/>
      <c r="Y21" s="248"/>
      <c r="Z21" s="248"/>
      <c r="AA21" s="249"/>
      <c r="AB21" s="247"/>
      <c r="AC21" s="248"/>
      <c r="AD21" s="248"/>
      <c r="AE21" s="248"/>
      <c r="AF21" s="248"/>
      <c r="AG21" s="249"/>
      <c r="AH21" s="238"/>
      <c r="AI21" s="239"/>
      <c r="AJ21" s="239"/>
      <c r="AK21" s="239"/>
      <c r="AL21" s="239"/>
      <c r="AM21" s="240"/>
      <c r="AN21" s="40"/>
      <c r="AO21" s="281"/>
      <c r="AP21" s="282"/>
      <c r="AQ21" s="282"/>
      <c r="AR21" s="282"/>
      <c r="AS21" s="282"/>
      <c r="AT21" s="283"/>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row>
    <row r="22" spans="1:80" x14ac:dyDescent="0.25">
      <c r="A22" s="40"/>
      <c r="B22" s="264"/>
      <c r="C22" s="264"/>
      <c r="D22" s="265"/>
      <c r="E22" s="254" t="s">
        <v>47</v>
      </c>
      <c r="F22" s="255"/>
      <c r="G22" s="255"/>
      <c r="H22" s="255"/>
      <c r="I22" s="256"/>
      <c r="J22" s="232" t="str">
        <f>IF(AND('Mapa final'!$I$8="Media",'Mapa final'!$M$8="Leve"),CONCATENATE("R",'Mapa final'!$B$8),"")</f>
        <v/>
      </c>
      <c r="K22" s="233"/>
      <c r="L22" s="233" t="str">
        <f>IF(AND('Mapa final'!$I$14="Media",'Mapa final'!$M$14="Leve"),CONCATENATE("R",'Mapa final'!$B$14),"")</f>
        <v/>
      </c>
      <c r="M22" s="233"/>
      <c r="N22" s="233" t="str">
        <f>IF(AND('Mapa final'!$I$20="Media",'Mapa final'!$M$20="Leve"),CONCATENATE("R",'Mapa final'!$B$20),"")</f>
        <v/>
      </c>
      <c r="O22" s="234"/>
      <c r="P22" s="232" t="str">
        <f>IF(AND('Mapa final'!$I$8="Media",'Mapa final'!$M$8="Menor"),CONCATENATE("R",'Mapa final'!$B$8),"")</f>
        <v/>
      </c>
      <c r="Q22" s="233"/>
      <c r="R22" s="233" t="str">
        <f>IF(AND('Mapa final'!$I$14="Media",'Mapa final'!$M$14="Menor"),CONCATENATE("R",'Mapa final'!$B$14),"")</f>
        <v/>
      </c>
      <c r="S22" s="233"/>
      <c r="T22" s="233" t="str">
        <f>IF(AND('Mapa final'!$I$20="Media",'Mapa final'!$M$20="Menor"),CONCATENATE("R",'Mapa final'!$B$20),"")</f>
        <v/>
      </c>
      <c r="U22" s="234"/>
      <c r="V22" s="232" t="str">
        <f>IF(AND('Mapa final'!$I$8="Media",'Mapa final'!$M$8="Moderado"),CONCATENATE("R",'Mapa final'!$B$8),"")</f>
        <v/>
      </c>
      <c r="W22" s="233"/>
      <c r="X22" s="233" t="str">
        <f>IF(AND('Mapa final'!$I$14="Media",'Mapa final'!$M$14="Moderado"),CONCATENATE("R",'Mapa final'!$B$14),"")</f>
        <v/>
      </c>
      <c r="Y22" s="233"/>
      <c r="Z22" s="233" t="str">
        <f>IF(AND('Mapa final'!$I$20="Media",'Mapa final'!$M$20="Moderado"),CONCATENATE("R",'Mapa final'!$B$20),"")</f>
        <v/>
      </c>
      <c r="AA22" s="234"/>
      <c r="AB22" s="250" t="str">
        <f>IF(AND('Mapa final'!$I$8="Media",'Mapa final'!$M$8="Mayor"),CONCATENATE("R",'Mapa final'!$B$8),"")</f>
        <v/>
      </c>
      <c r="AC22" s="251"/>
      <c r="AD22" s="251" t="str">
        <f>IF(AND('Mapa final'!$I$14="Media",'Mapa final'!$M$14="Mayor"),CONCATENATE("R",'Mapa final'!$B$14),"")</f>
        <v/>
      </c>
      <c r="AE22" s="251"/>
      <c r="AF22" s="251" t="str">
        <f>IF(AND('Mapa final'!$I$20="Media",'Mapa final'!$M$20="Mayor"),CONCATENATE("R",'Mapa final'!$B$20),"")</f>
        <v/>
      </c>
      <c r="AG22" s="252"/>
      <c r="AH22" s="241" t="str">
        <f>IF(AND('Mapa final'!$I$8="Media",'Mapa final'!$M$8="Catastrófico"),CONCATENATE("R",'Mapa final'!$B$8),"")</f>
        <v/>
      </c>
      <c r="AI22" s="242"/>
      <c r="AJ22" s="242" t="str">
        <f>IF(AND('Mapa final'!$I$14="Media",'Mapa final'!$M$14="Catastrófico"),CONCATENATE("R",'Mapa final'!$B$14),"")</f>
        <v/>
      </c>
      <c r="AK22" s="242"/>
      <c r="AL22" s="242" t="str">
        <f>IF(AND('Mapa final'!$I$20="Media",'Mapa final'!$M$20="Catastrófico"),CONCATENATE("R",'Mapa final'!$B$20),"")</f>
        <v/>
      </c>
      <c r="AM22" s="243"/>
      <c r="AN22" s="40"/>
      <c r="AO22" s="284" t="s">
        <v>48</v>
      </c>
      <c r="AP22" s="285"/>
      <c r="AQ22" s="285"/>
      <c r="AR22" s="285"/>
      <c r="AS22" s="285"/>
      <c r="AT22" s="286"/>
      <c r="AU22" s="40"/>
      <c r="AV22" s="40"/>
      <c r="AW22" s="40"/>
      <c r="AX22" s="4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c r="BY22" s="40"/>
      <c r="BZ22" s="40"/>
      <c r="CA22" s="40"/>
      <c r="CB22" s="40"/>
    </row>
    <row r="23" spans="1:80" x14ac:dyDescent="0.25">
      <c r="A23" s="40"/>
      <c r="B23" s="264"/>
      <c r="C23" s="264"/>
      <c r="D23" s="265"/>
      <c r="E23" s="257"/>
      <c r="F23" s="258"/>
      <c r="G23" s="258"/>
      <c r="H23" s="258"/>
      <c r="I23" s="259"/>
      <c r="J23" s="226"/>
      <c r="K23" s="227"/>
      <c r="L23" s="227"/>
      <c r="M23" s="227"/>
      <c r="N23" s="227"/>
      <c r="O23" s="228"/>
      <c r="P23" s="226"/>
      <c r="Q23" s="227"/>
      <c r="R23" s="227"/>
      <c r="S23" s="227"/>
      <c r="T23" s="227"/>
      <c r="U23" s="228"/>
      <c r="V23" s="226"/>
      <c r="W23" s="227"/>
      <c r="X23" s="227"/>
      <c r="Y23" s="227"/>
      <c r="Z23" s="227"/>
      <c r="AA23" s="228"/>
      <c r="AB23" s="244"/>
      <c r="AC23" s="245"/>
      <c r="AD23" s="245"/>
      <c r="AE23" s="245"/>
      <c r="AF23" s="245"/>
      <c r="AG23" s="246"/>
      <c r="AH23" s="235"/>
      <c r="AI23" s="236"/>
      <c r="AJ23" s="236"/>
      <c r="AK23" s="236"/>
      <c r="AL23" s="236"/>
      <c r="AM23" s="237"/>
      <c r="AN23" s="40"/>
      <c r="AO23" s="287"/>
      <c r="AP23" s="288"/>
      <c r="AQ23" s="288"/>
      <c r="AR23" s="288"/>
      <c r="AS23" s="288"/>
      <c r="AT23" s="289"/>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row>
    <row r="24" spans="1:80" x14ac:dyDescent="0.25">
      <c r="A24" s="40"/>
      <c r="B24" s="264"/>
      <c r="C24" s="264"/>
      <c r="D24" s="265"/>
      <c r="E24" s="257"/>
      <c r="F24" s="258"/>
      <c r="G24" s="258"/>
      <c r="H24" s="258"/>
      <c r="I24" s="259"/>
      <c r="J24" s="226" t="str">
        <f>IF(AND('Mapa final'!$I$26="Media",'Mapa final'!$M$26="Leve"),CONCATENATE("R",'Mapa final'!$B$26),"")</f>
        <v/>
      </c>
      <c r="K24" s="227"/>
      <c r="L24" s="227" t="str">
        <f>IF(AND('Mapa final'!$I$32="Media",'Mapa final'!$M$32="Leve"),CONCATENATE("R",'Mapa final'!$B$32),"")</f>
        <v/>
      </c>
      <c r="M24" s="227"/>
      <c r="N24" s="227" t="str">
        <f>IF(AND('Mapa final'!$I$38="Media",'Mapa final'!$M$38="Leve"),CONCATENATE("R",'Mapa final'!$B$38),"")</f>
        <v/>
      </c>
      <c r="O24" s="228"/>
      <c r="P24" s="226" t="str">
        <f>IF(AND('Mapa final'!$I$26="Media",'Mapa final'!$M$26="Menor"),CONCATENATE("R",'Mapa final'!$B$26),"")</f>
        <v/>
      </c>
      <c r="Q24" s="227"/>
      <c r="R24" s="227" t="str">
        <f>IF(AND('Mapa final'!$I$32="Media",'Mapa final'!$M$32="Menor"),CONCATENATE("R",'Mapa final'!$B$32),"")</f>
        <v/>
      </c>
      <c r="S24" s="227"/>
      <c r="T24" s="227" t="str">
        <f>IF(AND('Mapa final'!$I$38="Media",'Mapa final'!$M$38="Menor"),CONCATENATE("R",'Mapa final'!$B$38),"")</f>
        <v/>
      </c>
      <c r="U24" s="228"/>
      <c r="V24" s="226" t="str">
        <f>IF(AND('Mapa final'!$I$26="Media",'Mapa final'!$M$26="Moderado"),CONCATENATE("R",'Mapa final'!$B$26),"")</f>
        <v/>
      </c>
      <c r="W24" s="227"/>
      <c r="X24" s="227" t="str">
        <f>IF(AND('Mapa final'!$I$32="Media",'Mapa final'!$M$32="Moderado"),CONCATENATE("R",'Mapa final'!$B$32),"")</f>
        <v/>
      </c>
      <c r="Y24" s="227"/>
      <c r="Z24" s="227" t="str">
        <f>IF(AND('Mapa final'!$I$38="Media",'Mapa final'!$M$38="Moderado"),CONCATENATE("R",'Mapa final'!$B$38),"")</f>
        <v/>
      </c>
      <c r="AA24" s="228"/>
      <c r="AB24" s="244" t="str">
        <f>IF(AND('Mapa final'!$I$26="Media",'Mapa final'!$M$26="Mayor"),CONCATENATE("R",'Mapa final'!$B$26),"")</f>
        <v/>
      </c>
      <c r="AC24" s="245"/>
      <c r="AD24" s="245" t="str">
        <f>IF(AND('Mapa final'!$I$32="Media",'Mapa final'!$M$32="Mayor"),CONCATENATE("R",'Mapa final'!$B$32),"")</f>
        <v/>
      </c>
      <c r="AE24" s="245"/>
      <c r="AF24" s="245" t="str">
        <f>IF(AND('Mapa final'!$I$38="Media",'Mapa final'!$M$38="Mayor"),CONCATENATE("R",'Mapa final'!$B$38),"")</f>
        <v/>
      </c>
      <c r="AG24" s="246"/>
      <c r="AH24" s="235" t="str">
        <f>IF(AND('Mapa final'!$I$26="Media",'Mapa final'!$M$26="Catastrófico"),CONCATENATE("R",'Mapa final'!$B$26),"")</f>
        <v/>
      </c>
      <c r="AI24" s="236"/>
      <c r="AJ24" s="236" t="str">
        <f>IF(AND('Mapa final'!$I$32="Media",'Mapa final'!$M$32="Catastrófico"),CONCATENATE("R",'Mapa final'!$B$32),"")</f>
        <v/>
      </c>
      <c r="AK24" s="236"/>
      <c r="AL24" s="236" t="str">
        <f>IF(AND('Mapa final'!$I$38="Media",'Mapa final'!$M$38="Catastrófico"),CONCATENATE("R",'Mapa final'!$B$38),"")</f>
        <v/>
      </c>
      <c r="AM24" s="237"/>
      <c r="AN24" s="40"/>
      <c r="AO24" s="287"/>
      <c r="AP24" s="288"/>
      <c r="AQ24" s="288"/>
      <c r="AR24" s="288"/>
      <c r="AS24" s="288"/>
      <c r="AT24" s="289"/>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row>
    <row r="25" spans="1:80" x14ac:dyDescent="0.25">
      <c r="A25" s="40"/>
      <c r="B25" s="264"/>
      <c r="C25" s="264"/>
      <c r="D25" s="265"/>
      <c r="E25" s="257"/>
      <c r="F25" s="258"/>
      <c r="G25" s="258"/>
      <c r="H25" s="258"/>
      <c r="I25" s="259"/>
      <c r="J25" s="226"/>
      <c r="K25" s="227"/>
      <c r="L25" s="227"/>
      <c r="M25" s="227"/>
      <c r="N25" s="227"/>
      <c r="O25" s="228"/>
      <c r="P25" s="226"/>
      <c r="Q25" s="227"/>
      <c r="R25" s="227"/>
      <c r="S25" s="227"/>
      <c r="T25" s="227"/>
      <c r="U25" s="228"/>
      <c r="V25" s="226"/>
      <c r="W25" s="227"/>
      <c r="X25" s="227"/>
      <c r="Y25" s="227"/>
      <c r="Z25" s="227"/>
      <c r="AA25" s="228"/>
      <c r="AB25" s="244"/>
      <c r="AC25" s="245"/>
      <c r="AD25" s="245"/>
      <c r="AE25" s="245"/>
      <c r="AF25" s="245"/>
      <c r="AG25" s="246"/>
      <c r="AH25" s="235"/>
      <c r="AI25" s="236"/>
      <c r="AJ25" s="236"/>
      <c r="AK25" s="236"/>
      <c r="AL25" s="236"/>
      <c r="AM25" s="237"/>
      <c r="AN25" s="40"/>
      <c r="AO25" s="287"/>
      <c r="AP25" s="288"/>
      <c r="AQ25" s="288"/>
      <c r="AR25" s="288"/>
      <c r="AS25" s="288"/>
      <c r="AT25" s="289"/>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row>
    <row r="26" spans="1:80" x14ac:dyDescent="0.25">
      <c r="A26" s="40"/>
      <c r="B26" s="264"/>
      <c r="C26" s="264"/>
      <c r="D26" s="265"/>
      <c r="E26" s="257"/>
      <c r="F26" s="258"/>
      <c r="G26" s="258"/>
      <c r="H26" s="258"/>
      <c r="I26" s="259"/>
      <c r="J26" s="226" t="str">
        <f>IF(AND('Mapa final'!$I$44="Media",'Mapa final'!$M$44="Leve"),CONCATENATE("R",'Mapa final'!$B$44),"")</f>
        <v/>
      </c>
      <c r="K26" s="227"/>
      <c r="L26" s="227" t="str">
        <f>IF(AND('Mapa final'!$I$50="Media",'Mapa final'!$M$50="Leve"),CONCATENATE("R",'Mapa final'!$B$50),"")</f>
        <v/>
      </c>
      <c r="M26" s="227"/>
      <c r="N26" s="227" t="str">
        <f>IF(AND('Mapa final'!$I$56="Media",'Mapa final'!$M$56="Leve"),CONCATENATE("R",'Mapa final'!$B$56),"")</f>
        <v/>
      </c>
      <c r="O26" s="228"/>
      <c r="P26" s="226" t="str">
        <f>IF(AND('Mapa final'!$I$44="Media",'Mapa final'!$M$44="Menor"),CONCATENATE("R",'Mapa final'!$B$44),"")</f>
        <v/>
      </c>
      <c r="Q26" s="227"/>
      <c r="R26" s="227" t="str">
        <f>IF(AND('Mapa final'!$I$50="Media",'Mapa final'!$M$50="Menor"),CONCATENATE("R",'Mapa final'!$B$50),"")</f>
        <v/>
      </c>
      <c r="S26" s="227"/>
      <c r="T26" s="227" t="str">
        <f>IF(AND('Mapa final'!$I$56="Media",'Mapa final'!$M$56="Menor"),CONCATENATE("R",'Mapa final'!$B$56),"")</f>
        <v/>
      </c>
      <c r="U26" s="228"/>
      <c r="V26" s="226" t="str">
        <f>IF(AND('Mapa final'!$I$44="Media",'Mapa final'!$M$44="Moderado"),CONCATENATE("R",'Mapa final'!$B$44),"")</f>
        <v/>
      </c>
      <c r="W26" s="227"/>
      <c r="X26" s="227" t="str">
        <f>IF(AND('Mapa final'!$I$50="Media",'Mapa final'!$M$50="Moderado"),CONCATENATE("R",'Mapa final'!$B$50),"")</f>
        <v/>
      </c>
      <c r="Y26" s="227"/>
      <c r="Z26" s="227" t="str">
        <f>IF(AND('Mapa final'!$I$56="Media",'Mapa final'!$M$56="Moderado"),CONCATENATE("R",'Mapa final'!$B$56),"")</f>
        <v/>
      </c>
      <c r="AA26" s="228"/>
      <c r="AB26" s="244" t="str">
        <f>IF(AND('Mapa final'!$I$44="Media",'Mapa final'!$M$44="Mayor"),CONCATENATE("R",'Mapa final'!$B$44),"")</f>
        <v/>
      </c>
      <c r="AC26" s="245"/>
      <c r="AD26" s="245" t="str">
        <f>IF(AND('Mapa final'!$I$50="Media",'Mapa final'!$M$50="Mayor"),CONCATENATE("R",'Mapa final'!$B$50),"")</f>
        <v/>
      </c>
      <c r="AE26" s="245"/>
      <c r="AF26" s="245" t="str">
        <f>IF(AND('Mapa final'!$I$56="Media",'Mapa final'!$M$56="Mayor"),CONCATENATE("R",'Mapa final'!$B$56),"")</f>
        <v/>
      </c>
      <c r="AG26" s="246"/>
      <c r="AH26" s="235" t="str">
        <f>IF(AND('Mapa final'!$I$44="Media",'Mapa final'!$M$44="Catastrófico"),CONCATENATE("R",'Mapa final'!$B$44),"")</f>
        <v/>
      </c>
      <c r="AI26" s="236"/>
      <c r="AJ26" s="236" t="str">
        <f>IF(AND('Mapa final'!$I$50="Media",'Mapa final'!$M$50="Catastrófico"),CONCATENATE("R",'Mapa final'!$B$50),"")</f>
        <v/>
      </c>
      <c r="AK26" s="236"/>
      <c r="AL26" s="236" t="str">
        <f>IF(AND('Mapa final'!$I$56="Media",'Mapa final'!$M$56="Catastrófico"),CONCATENATE("R",'Mapa final'!$B$56),"")</f>
        <v/>
      </c>
      <c r="AM26" s="237"/>
      <c r="AN26" s="40"/>
      <c r="AO26" s="287"/>
      <c r="AP26" s="288"/>
      <c r="AQ26" s="288"/>
      <c r="AR26" s="288"/>
      <c r="AS26" s="288"/>
      <c r="AT26" s="289"/>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row>
    <row r="27" spans="1:80" x14ac:dyDescent="0.25">
      <c r="A27" s="40"/>
      <c r="B27" s="264"/>
      <c r="C27" s="264"/>
      <c r="D27" s="265"/>
      <c r="E27" s="257"/>
      <c r="F27" s="258"/>
      <c r="G27" s="258"/>
      <c r="H27" s="258"/>
      <c r="I27" s="259"/>
      <c r="J27" s="226"/>
      <c r="K27" s="227"/>
      <c r="L27" s="227"/>
      <c r="M27" s="227"/>
      <c r="N27" s="227"/>
      <c r="O27" s="228"/>
      <c r="P27" s="226"/>
      <c r="Q27" s="227"/>
      <c r="R27" s="227"/>
      <c r="S27" s="227"/>
      <c r="T27" s="227"/>
      <c r="U27" s="228"/>
      <c r="V27" s="226"/>
      <c r="W27" s="227"/>
      <c r="X27" s="227"/>
      <c r="Y27" s="227"/>
      <c r="Z27" s="227"/>
      <c r="AA27" s="228"/>
      <c r="AB27" s="244"/>
      <c r="AC27" s="245"/>
      <c r="AD27" s="245"/>
      <c r="AE27" s="245"/>
      <c r="AF27" s="245"/>
      <c r="AG27" s="246"/>
      <c r="AH27" s="235"/>
      <c r="AI27" s="236"/>
      <c r="AJ27" s="236"/>
      <c r="AK27" s="236"/>
      <c r="AL27" s="236"/>
      <c r="AM27" s="237"/>
      <c r="AN27" s="40"/>
      <c r="AO27" s="287"/>
      <c r="AP27" s="288"/>
      <c r="AQ27" s="288"/>
      <c r="AR27" s="288"/>
      <c r="AS27" s="288"/>
      <c r="AT27" s="289"/>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row>
    <row r="28" spans="1:80" x14ac:dyDescent="0.25">
      <c r="A28" s="40"/>
      <c r="B28" s="264"/>
      <c r="C28" s="264"/>
      <c r="D28" s="265"/>
      <c r="E28" s="257"/>
      <c r="F28" s="258"/>
      <c r="G28" s="258"/>
      <c r="H28" s="258"/>
      <c r="I28" s="259"/>
      <c r="J28" s="226" t="e">
        <f>IF(AND('Mapa final'!#REF!="Media",'Mapa final'!#REF!="Leve"),CONCATENATE("R",'Mapa final'!#REF!),"")</f>
        <v>#REF!</v>
      </c>
      <c r="K28" s="227"/>
      <c r="L28" s="227" t="str">
        <f>IF(AND('Mapa final'!$I$184="Media",'Mapa final'!$M$184="Leve"),CONCATENATE("R",'Mapa final'!#REF!),"")</f>
        <v/>
      </c>
      <c r="M28" s="227"/>
      <c r="N28" s="227" t="str">
        <f>IF(AND('Mapa final'!$I$190="Media",'Mapa final'!$M$190="Leve"),CONCATENATE("R",'Mapa final'!$B$190),"")</f>
        <v/>
      </c>
      <c r="O28" s="228"/>
      <c r="P28" s="226" t="e">
        <f>IF(AND('Mapa final'!#REF!="Media",'Mapa final'!#REF!="Menor"),CONCATENATE("R",'Mapa final'!#REF!),"")</f>
        <v>#REF!</v>
      </c>
      <c r="Q28" s="227"/>
      <c r="R28" s="227" t="str">
        <f>IF(AND('Mapa final'!$I$184="Media",'Mapa final'!$M$184="Menor"),CONCATENATE("R",'Mapa final'!#REF!),"")</f>
        <v/>
      </c>
      <c r="S28" s="227"/>
      <c r="T28" s="227" t="str">
        <f>IF(AND('Mapa final'!$I$190="Media",'Mapa final'!$M$190="Menor"),CONCATENATE("R",'Mapa final'!$B$190),"")</f>
        <v/>
      </c>
      <c r="U28" s="228"/>
      <c r="V28" s="226" t="e">
        <f>IF(AND('Mapa final'!#REF!="Media",'Mapa final'!#REF!="Moderado"),CONCATENATE("R",'Mapa final'!#REF!),"")</f>
        <v>#REF!</v>
      </c>
      <c r="W28" s="227"/>
      <c r="X28" s="227" t="str">
        <f>IF(AND('Mapa final'!$I$184="Media",'Mapa final'!$M$184="Moderado"),CONCATENATE("R",'Mapa final'!#REF!),"")</f>
        <v/>
      </c>
      <c r="Y28" s="227"/>
      <c r="Z28" s="227" t="str">
        <f>IF(AND('Mapa final'!$I$190="Media",'Mapa final'!$M$190="Moderado"),CONCATENATE("R",'Mapa final'!$B$190),"")</f>
        <v/>
      </c>
      <c r="AA28" s="228"/>
      <c r="AB28" s="244" t="e">
        <f>IF(AND('Mapa final'!#REF!="Media",'Mapa final'!#REF!="Mayor"),CONCATENATE("R",'Mapa final'!#REF!),"")</f>
        <v>#REF!</v>
      </c>
      <c r="AC28" s="245"/>
      <c r="AD28" s="245" t="str">
        <f>IF(AND('Mapa final'!$I$184="Media",'Mapa final'!$M$184="Mayor"),CONCATENATE("R",'Mapa final'!#REF!),"")</f>
        <v/>
      </c>
      <c r="AE28" s="245"/>
      <c r="AF28" s="245" t="str">
        <f>IF(AND('Mapa final'!$I$190="Media",'Mapa final'!$M$190="Mayor"),CONCATENATE("R",'Mapa final'!$B$190),"")</f>
        <v/>
      </c>
      <c r="AG28" s="246"/>
      <c r="AH28" s="235" t="e">
        <f>IF(AND('Mapa final'!#REF!="Media",'Mapa final'!#REF!="Catastrófico"),CONCATENATE("R",'Mapa final'!#REF!),"")</f>
        <v>#REF!</v>
      </c>
      <c r="AI28" s="236"/>
      <c r="AJ28" s="236" t="str">
        <f>IF(AND('Mapa final'!$I$184="Media",'Mapa final'!$M$184="Catastrófico"),CONCATENATE("R",'Mapa final'!#REF!),"")</f>
        <v/>
      </c>
      <c r="AK28" s="236"/>
      <c r="AL28" s="236" t="str">
        <f>IF(AND('Mapa final'!$I$190="Media",'Mapa final'!$M$190="Catastrófico"),CONCATENATE("R",'Mapa final'!$B$190),"")</f>
        <v/>
      </c>
      <c r="AM28" s="237"/>
      <c r="AN28" s="40"/>
      <c r="AO28" s="287"/>
      <c r="AP28" s="288"/>
      <c r="AQ28" s="288"/>
      <c r="AR28" s="288"/>
      <c r="AS28" s="288"/>
      <c r="AT28" s="289"/>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row>
    <row r="29" spans="1:80" ht="15.75" thickBot="1" x14ac:dyDescent="0.3">
      <c r="A29" s="40"/>
      <c r="B29" s="264"/>
      <c r="C29" s="264"/>
      <c r="D29" s="265"/>
      <c r="E29" s="260"/>
      <c r="F29" s="261"/>
      <c r="G29" s="261"/>
      <c r="H29" s="261"/>
      <c r="I29" s="262"/>
      <c r="J29" s="226"/>
      <c r="K29" s="227"/>
      <c r="L29" s="227"/>
      <c r="M29" s="227"/>
      <c r="N29" s="227"/>
      <c r="O29" s="228"/>
      <c r="P29" s="229"/>
      <c r="Q29" s="230"/>
      <c r="R29" s="230"/>
      <c r="S29" s="230"/>
      <c r="T29" s="230"/>
      <c r="U29" s="231"/>
      <c r="V29" s="229"/>
      <c r="W29" s="230"/>
      <c r="X29" s="230"/>
      <c r="Y29" s="230"/>
      <c r="Z29" s="230"/>
      <c r="AA29" s="231"/>
      <c r="AB29" s="247"/>
      <c r="AC29" s="248"/>
      <c r="AD29" s="248"/>
      <c r="AE29" s="248"/>
      <c r="AF29" s="248"/>
      <c r="AG29" s="249"/>
      <c r="AH29" s="238"/>
      <c r="AI29" s="239"/>
      <c r="AJ29" s="239"/>
      <c r="AK29" s="239"/>
      <c r="AL29" s="239"/>
      <c r="AM29" s="240"/>
      <c r="AN29" s="40"/>
      <c r="AO29" s="290"/>
      <c r="AP29" s="291"/>
      <c r="AQ29" s="291"/>
      <c r="AR29" s="291"/>
      <c r="AS29" s="291"/>
      <c r="AT29" s="292"/>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row>
    <row r="30" spans="1:80" x14ac:dyDescent="0.25">
      <c r="A30" s="40"/>
      <c r="B30" s="264"/>
      <c r="C30" s="264"/>
      <c r="D30" s="265"/>
      <c r="E30" s="254" t="s">
        <v>49</v>
      </c>
      <c r="F30" s="255"/>
      <c r="G30" s="255"/>
      <c r="H30" s="255"/>
      <c r="I30" s="255"/>
      <c r="J30" s="223" t="str">
        <f>IF(AND('Mapa final'!$I$8="Baja",'Mapa final'!$M$8="Leve"),CONCATENATE("R",'Mapa final'!$B$8),"")</f>
        <v/>
      </c>
      <c r="K30" s="224"/>
      <c r="L30" s="224" t="str">
        <f>IF(AND('Mapa final'!$I$14="Baja",'Mapa final'!$M$14="Leve"),CONCATENATE("R",'Mapa final'!$B$14),"")</f>
        <v/>
      </c>
      <c r="M30" s="224"/>
      <c r="N30" s="224" t="str">
        <f>IF(AND('Mapa final'!$I$20="Baja",'Mapa final'!$M$20="Leve"),CONCATENATE("R",'Mapa final'!$B$20),"")</f>
        <v/>
      </c>
      <c r="O30" s="225"/>
      <c r="P30" s="233" t="str">
        <f>IF(AND('Mapa final'!$I$8="Baja",'Mapa final'!$M$8="Menor"),CONCATENATE("R",'Mapa final'!$B$8),"")</f>
        <v/>
      </c>
      <c r="Q30" s="233"/>
      <c r="R30" s="233" t="str">
        <f>IF(AND('Mapa final'!$I$14="Baja",'Mapa final'!$M$14="Menor"),CONCATENATE("R",'Mapa final'!$B$14),"")</f>
        <v/>
      </c>
      <c r="S30" s="233"/>
      <c r="T30" s="233" t="str">
        <f>IF(AND('Mapa final'!$I$20="Baja",'Mapa final'!$M$20="Menor"),CONCATENATE("R",'Mapa final'!$B$20),"")</f>
        <v/>
      </c>
      <c r="U30" s="234"/>
      <c r="V30" s="232" t="str">
        <f>IF(AND('Mapa final'!$I$8="Baja",'Mapa final'!$M$8="Moderado"),CONCATENATE("R",'Mapa final'!$B$8),"")</f>
        <v/>
      </c>
      <c r="W30" s="233"/>
      <c r="X30" s="233" t="str">
        <f>IF(AND('Mapa final'!$I$14="Baja",'Mapa final'!$M$14="Moderado"),CONCATENATE("R",'Mapa final'!$B$14),"")</f>
        <v/>
      </c>
      <c r="Y30" s="233"/>
      <c r="Z30" s="233" t="str">
        <f>IF(AND('Mapa final'!$I$20="Baja",'Mapa final'!$M$20="Moderado"),CONCATENATE("R",'Mapa final'!$B$20),"")</f>
        <v/>
      </c>
      <c r="AA30" s="234"/>
      <c r="AB30" s="250" t="str">
        <f>IF(AND('Mapa final'!$I$8="Baja",'Mapa final'!$M$8="Mayor"),CONCATENATE("R",'Mapa final'!$B$8),"")</f>
        <v/>
      </c>
      <c r="AC30" s="251"/>
      <c r="AD30" s="251" t="str">
        <f>IF(AND('Mapa final'!$I$14="Baja",'Mapa final'!$M$14="Mayor"),CONCATENATE("R",'Mapa final'!$B$14),"")</f>
        <v/>
      </c>
      <c r="AE30" s="251"/>
      <c r="AF30" s="251" t="str">
        <f>IF(AND('Mapa final'!$I$20="Baja",'Mapa final'!$M$20="Mayor"),CONCATENATE("R",'Mapa final'!$B$20),"")</f>
        <v/>
      </c>
      <c r="AG30" s="252"/>
      <c r="AH30" s="241" t="str">
        <f>IF(AND('Mapa final'!$I$8="Baja",'Mapa final'!$M$8="Catastrófico"),CONCATENATE("R",'Mapa final'!$B$8),"")</f>
        <v/>
      </c>
      <c r="AI30" s="242"/>
      <c r="AJ30" s="242" t="str">
        <f>IF(AND('Mapa final'!$I$14="Baja",'Mapa final'!$M$14="Catastrófico"),CONCATENATE("R",'Mapa final'!$B$14),"")</f>
        <v/>
      </c>
      <c r="AK30" s="242"/>
      <c r="AL30" s="242" t="str">
        <f>IF(AND('Mapa final'!$I$20="Baja",'Mapa final'!$M$20="Catastrófico"),CONCATENATE("R",'Mapa final'!$B$20),"")</f>
        <v/>
      </c>
      <c r="AM30" s="243"/>
      <c r="AN30" s="40"/>
      <c r="AO30" s="293" t="s">
        <v>50</v>
      </c>
      <c r="AP30" s="294"/>
      <c r="AQ30" s="294"/>
      <c r="AR30" s="294"/>
      <c r="AS30" s="294"/>
      <c r="AT30" s="295"/>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row>
    <row r="31" spans="1:80" x14ac:dyDescent="0.25">
      <c r="A31" s="40"/>
      <c r="B31" s="264"/>
      <c r="C31" s="264"/>
      <c r="D31" s="265"/>
      <c r="E31" s="257"/>
      <c r="F31" s="258"/>
      <c r="G31" s="258"/>
      <c r="H31" s="258"/>
      <c r="I31" s="258"/>
      <c r="J31" s="217"/>
      <c r="K31" s="218"/>
      <c r="L31" s="218"/>
      <c r="M31" s="218"/>
      <c r="N31" s="218"/>
      <c r="O31" s="219"/>
      <c r="P31" s="227"/>
      <c r="Q31" s="227"/>
      <c r="R31" s="227"/>
      <c r="S31" s="227"/>
      <c r="T31" s="227"/>
      <c r="U31" s="228"/>
      <c r="V31" s="226"/>
      <c r="W31" s="227"/>
      <c r="X31" s="227"/>
      <c r="Y31" s="227"/>
      <c r="Z31" s="227"/>
      <c r="AA31" s="228"/>
      <c r="AB31" s="244"/>
      <c r="AC31" s="245"/>
      <c r="AD31" s="245"/>
      <c r="AE31" s="245"/>
      <c r="AF31" s="245"/>
      <c r="AG31" s="246"/>
      <c r="AH31" s="235"/>
      <c r="AI31" s="236"/>
      <c r="AJ31" s="236"/>
      <c r="AK31" s="236"/>
      <c r="AL31" s="236"/>
      <c r="AM31" s="237"/>
      <c r="AN31" s="40"/>
      <c r="AO31" s="296"/>
      <c r="AP31" s="297"/>
      <c r="AQ31" s="297"/>
      <c r="AR31" s="297"/>
      <c r="AS31" s="297"/>
      <c r="AT31" s="298"/>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row>
    <row r="32" spans="1:80" x14ac:dyDescent="0.25">
      <c r="A32" s="40"/>
      <c r="B32" s="264"/>
      <c r="C32" s="264"/>
      <c r="D32" s="265"/>
      <c r="E32" s="257"/>
      <c r="F32" s="258"/>
      <c r="G32" s="258"/>
      <c r="H32" s="258"/>
      <c r="I32" s="258"/>
      <c r="J32" s="217" t="str">
        <f>IF(AND('Mapa final'!$I$26="Baja",'Mapa final'!$M$26="Leve"),CONCATENATE("R",'Mapa final'!$B$26),"")</f>
        <v/>
      </c>
      <c r="K32" s="218"/>
      <c r="L32" s="218" t="str">
        <f>IF(AND('Mapa final'!$I$32="Baja",'Mapa final'!$M$32="Leve"),CONCATENATE("R",'Mapa final'!$B$32),"")</f>
        <v/>
      </c>
      <c r="M32" s="218"/>
      <c r="N32" s="218" t="str">
        <f>IF(AND('Mapa final'!$I$38="Baja",'Mapa final'!$M$38="Leve"),CONCATENATE("R",'Mapa final'!$B$38),"")</f>
        <v/>
      </c>
      <c r="O32" s="219"/>
      <c r="P32" s="227" t="str">
        <f>IF(AND('Mapa final'!$I$26="Baja",'Mapa final'!$M$26="Menor"),CONCATENATE("R",'Mapa final'!$B$26),"")</f>
        <v/>
      </c>
      <c r="Q32" s="227"/>
      <c r="R32" s="227" t="str">
        <f>IF(AND('Mapa final'!$I$32="Baja",'Mapa final'!$M$32="Menor"),CONCATENATE("R",'Mapa final'!$B$32),"")</f>
        <v/>
      </c>
      <c r="S32" s="227"/>
      <c r="T32" s="227" t="str">
        <f>IF(AND('Mapa final'!$I$38="Baja",'Mapa final'!$M$38="Menor"),CONCATENATE("R",'Mapa final'!$B$38),"")</f>
        <v/>
      </c>
      <c r="U32" s="228"/>
      <c r="V32" s="226" t="str">
        <f>IF(AND('Mapa final'!$I$26="Baja",'Mapa final'!$M$26="Moderado"),CONCATENATE("R",'Mapa final'!$B$26),"")</f>
        <v/>
      </c>
      <c r="W32" s="227"/>
      <c r="X32" s="227" t="str">
        <f>IF(AND('Mapa final'!$I$32="Baja",'Mapa final'!$M$32="Moderado"),CONCATENATE("R",'Mapa final'!$B$32),"")</f>
        <v/>
      </c>
      <c r="Y32" s="227"/>
      <c r="Z32" s="227" t="str">
        <f>IF(AND('Mapa final'!$I$38="Baja",'Mapa final'!$M$38="Moderado"),CONCATENATE("R",'Mapa final'!$B$38),"")</f>
        <v/>
      </c>
      <c r="AA32" s="228"/>
      <c r="AB32" s="244" t="str">
        <f>IF(AND('Mapa final'!$I$26="Baja",'Mapa final'!$M$26="Mayor"),CONCATENATE("R",'Mapa final'!$B$26),"")</f>
        <v/>
      </c>
      <c r="AC32" s="245"/>
      <c r="AD32" s="245" t="str">
        <f>IF(AND('Mapa final'!$I$32="Baja",'Mapa final'!$M$32="Mayor"),CONCATENATE("R",'Mapa final'!$B$32),"")</f>
        <v/>
      </c>
      <c r="AE32" s="245"/>
      <c r="AF32" s="245" t="str">
        <f>IF(AND('Mapa final'!$I$38="Baja",'Mapa final'!$M$38="Mayor"),CONCATENATE("R",'Mapa final'!$B$38),"")</f>
        <v/>
      </c>
      <c r="AG32" s="246"/>
      <c r="AH32" s="235" t="str">
        <f>IF(AND('Mapa final'!$I$26="Baja",'Mapa final'!$M$26="Catastrófico"),CONCATENATE("R",'Mapa final'!$B$26),"")</f>
        <v/>
      </c>
      <c r="AI32" s="236"/>
      <c r="AJ32" s="236" t="str">
        <f>IF(AND('Mapa final'!$I$32="Baja",'Mapa final'!$M$32="Catastrófico"),CONCATENATE("R",'Mapa final'!$B$32),"")</f>
        <v/>
      </c>
      <c r="AK32" s="236"/>
      <c r="AL32" s="236" t="str">
        <f>IF(AND('Mapa final'!$I$38="Baja",'Mapa final'!$M$38="Catastrófico"),CONCATENATE("R",'Mapa final'!$B$38),"")</f>
        <v/>
      </c>
      <c r="AM32" s="237"/>
      <c r="AN32" s="40"/>
      <c r="AO32" s="296"/>
      <c r="AP32" s="297"/>
      <c r="AQ32" s="297"/>
      <c r="AR32" s="297"/>
      <c r="AS32" s="297"/>
      <c r="AT32" s="298"/>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row>
    <row r="33" spans="1:80" x14ac:dyDescent="0.25">
      <c r="A33" s="40"/>
      <c r="B33" s="264"/>
      <c r="C33" s="264"/>
      <c r="D33" s="265"/>
      <c r="E33" s="257"/>
      <c r="F33" s="258"/>
      <c r="G33" s="258"/>
      <c r="H33" s="258"/>
      <c r="I33" s="258"/>
      <c r="J33" s="217"/>
      <c r="K33" s="218"/>
      <c r="L33" s="218"/>
      <c r="M33" s="218"/>
      <c r="N33" s="218"/>
      <c r="O33" s="219"/>
      <c r="P33" s="227"/>
      <c r="Q33" s="227"/>
      <c r="R33" s="227"/>
      <c r="S33" s="227"/>
      <c r="T33" s="227"/>
      <c r="U33" s="228"/>
      <c r="V33" s="226"/>
      <c r="W33" s="227"/>
      <c r="X33" s="227"/>
      <c r="Y33" s="227"/>
      <c r="Z33" s="227"/>
      <c r="AA33" s="228"/>
      <c r="AB33" s="244"/>
      <c r="AC33" s="245"/>
      <c r="AD33" s="245"/>
      <c r="AE33" s="245"/>
      <c r="AF33" s="245"/>
      <c r="AG33" s="246"/>
      <c r="AH33" s="235"/>
      <c r="AI33" s="236"/>
      <c r="AJ33" s="236"/>
      <c r="AK33" s="236"/>
      <c r="AL33" s="236"/>
      <c r="AM33" s="237"/>
      <c r="AN33" s="40"/>
      <c r="AO33" s="296"/>
      <c r="AP33" s="297"/>
      <c r="AQ33" s="297"/>
      <c r="AR33" s="297"/>
      <c r="AS33" s="297"/>
      <c r="AT33" s="298"/>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row>
    <row r="34" spans="1:80" x14ac:dyDescent="0.25">
      <c r="A34" s="40"/>
      <c r="B34" s="264"/>
      <c r="C34" s="264"/>
      <c r="D34" s="265"/>
      <c r="E34" s="257"/>
      <c r="F34" s="258"/>
      <c r="G34" s="258"/>
      <c r="H34" s="258"/>
      <c r="I34" s="258"/>
      <c r="J34" s="217" t="str">
        <f>IF(AND('Mapa final'!$I$44="Baja",'Mapa final'!$M$44="Leve"),CONCATENATE("R",'Mapa final'!$B$44),"")</f>
        <v/>
      </c>
      <c r="K34" s="218"/>
      <c r="L34" s="218" t="str">
        <f>IF(AND('Mapa final'!$I$50="Baja",'Mapa final'!$M$50="Leve"),CONCATENATE("R",'Mapa final'!$B$50),"")</f>
        <v/>
      </c>
      <c r="M34" s="218"/>
      <c r="N34" s="218" t="str">
        <f>IF(AND('Mapa final'!$I$56="Baja",'Mapa final'!$M$56="Leve"),CONCATENATE("R",'Mapa final'!$B$56),"")</f>
        <v/>
      </c>
      <c r="O34" s="219"/>
      <c r="P34" s="227" t="str">
        <f>IF(AND('Mapa final'!$I$44="Baja",'Mapa final'!$M$44="Menor"),CONCATENATE("R",'Mapa final'!$B$44),"")</f>
        <v/>
      </c>
      <c r="Q34" s="227"/>
      <c r="R34" s="227" t="str">
        <f>IF(AND('Mapa final'!$I$50="Baja",'Mapa final'!$M$50="Menor"),CONCATENATE("R",'Mapa final'!$B$50),"")</f>
        <v/>
      </c>
      <c r="S34" s="227"/>
      <c r="T34" s="227" t="str">
        <f>IF(AND('Mapa final'!$I$56="Baja",'Mapa final'!$M$56="Menor"),CONCATENATE("R",'Mapa final'!$B$56),"")</f>
        <v/>
      </c>
      <c r="U34" s="228"/>
      <c r="V34" s="226" t="str">
        <f>IF(AND('Mapa final'!$I$44="Baja",'Mapa final'!$M$44="Moderado"),CONCATENATE("R",'Mapa final'!$B$44),"")</f>
        <v/>
      </c>
      <c r="W34" s="227"/>
      <c r="X34" s="227" t="str">
        <f>IF(AND('Mapa final'!$I$50="Baja",'Mapa final'!$M$50="Moderado"),CONCATENATE("R",'Mapa final'!$B$50),"")</f>
        <v/>
      </c>
      <c r="Y34" s="227"/>
      <c r="Z34" s="227" t="str">
        <f>IF(AND('Mapa final'!$I$56="Baja",'Mapa final'!$M$56="Moderado"),CONCATENATE("R",'Mapa final'!$B$56),"")</f>
        <v/>
      </c>
      <c r="AA34" s="228"/>
      <c r="AB34" s="244" t="str">
        <f>IF(AND('Mapa final'!$I$44="Baja",'Mapa final'!$M$44="Mayor"),CONCATENATE("R",'Mapa final'!$B$44),"")</f>
        <v/>
      </c>
      <c r="AC34" s="245"/>
      <c r="AD34" s="245" t="str">
        <f>IF(AND('Mapa final'!$I$50="Baja",'Mapa final'!$M$50="Mayor"),CONCATENATE("R",'Mapa final'!$B$50),"")</f>
        <v/>
      </c>
      <c r="AE34" s="245"/>
      <c r="AF34" s="245" t="str">
        <f>IF(AND('Mapa final'!$I$56="Baja",'Mapa final'!$M$56="Mayor"),CONCATENATE("R",'Mapa final'!$B$56),"")</f>
        <v/>
      </c>
      <c r="AG34" s="246"/>
      <c r="AH34" s="235" t="str">
        <f>IF(AND('Mapa final'!$I$44="Baja",'Mapa final'!$M$44="Catastrófico"),CONCATENATE("R",'Mapa final'!$B$44),"")</f>
        <v/>
      </c>
      <c r="AI34" s="236"/>
      <c r="AJ34" s="236" t="str">
        <f>IF(AND('Mapa final'!$I$50="Baja",'Mapa final'!$M$50="Catastrófico"),CONCATENATE("R",'Mapa final'!$B$50),"")</f>
        <v/>
      </c>
      <c r="AK34" s="236"/>
      <c r="AL34" s="236" t="str">
        <f>IF(AND('Mapa final'!$I$56="Baja",'Mapa final'!$M$56="Catastrófico"),CONCATENATE("R",'Mapa final'!$B$56),"")</f>
        <v/>
      </c>
      <c r="AM34" s="237"/>
      <c r="AN34" s="40"/>
      <c r="AO34" s="296"/>
      <c r="AP34" s="297"/>
      <c r="AQ34" s="297"/>
      <c r="AR34" s="297"/>
      <c r="AS34" s="297"/>
      <c r="AT34" s="298"/>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row>
    <row r="35" spans="1:80" x14ac:dyDescent="0.25">
      <c r="A35" s="40"/>
      <c r="B35" s="264"/>
      <c r="C35" s="264"/>
      <c r="D35" s="265"/>
      <c r="E35" s="257"/>
      <c r="F35" s="258"/>
      <c r="G35" s="258"/>
      <c r="H35" s="258"/>
      <c r="I35" s="258"/>
      <c r="J35" s="217"/>
      <c r="K35" s="218"/>
      <c r="L35" s="218"/>
      <c r="M35" s="218"/>
      <c r="N35" s="218"/>
      <c r="O35" s="219"/>
      <c r="P35" s="227"/>
      <c r="Q35" s="227"/>
      <c r="R35" s="227"/>
      <c r="S35" s="227"/>
      <c r="T35" s="227"/>
      <c r="U35" s="228"/>
      <c r="V35" s="226"/>
      <c r="W35" s="227"/>
      <c r="X35" s="227"/>
      <c r="Y35" s="227"/>
      <c r="Z35" s="227"/>
      <c r="AA35" s="228"/>
      <c r="AB35" s="244"/>
      <c r="AC35" s="245"/>
      <c r="AD35" s="245"/>
      <c r="AE35" s="245"/>
      <c r="AF35" s="245"/>
      <c r="AG35" s="246"/>
      <c r="AH35" s="235"/>
      <c r="AI35" s="236"/>
      <c r="AJ35" s="236"/>
      <c r="AK35" s="236"/>
      <c r="AL35" s="236"/>
      <c r="AM35" s="237"/>
      <c r="AN35" s="40"/>
      <c r="AO35" s="296"/>
      <c r="AP35" s="297"/>
      <c r="AQ35" s="297"/>
      <c r="AR35" s="297"/>
      <c r="AS35" s="297"/>
      <c r="AT35" s="298"/>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row>
    <row r="36" spans="1:80" x14ac:dyDescent="0.25">
      <c r="A36" s="40"/>
      <c r="B36" s="264"/>
      <c r="C36" s="264"/>
      <c r="D36" s="265"/>
      <c r="E36" s="257"/>
      <c r="F36" s="258"/>
      <c r="G36" s="258"/>
      <c r="H36" s="258"/>
      <c r="I36" s="258"/>
      <c r="J36" s="217" t="e">
        <f>IF(AND('Mapa final'!#REF!="Baja",'Mapa final'!#REF!="Leve"),CONCATENATE("R",'Mapa final'!#REF!),"")</f>
        <v>#REF!</v>
      </c>
      <c r="K36" s="218"/>
      <c r="L36" s="218" t="str">
        <f>IF(AND('Mapa final'!$I$184="Baja",'Mapa final'!$M$184="Leve"),CONCATENATE("R",'Mapa final'!#REF!),"")</f>
        <v/>
      </c>
      <c r="M36" s="218"/>
      <c r="N36" s="218" t="str">
        <f>IF(AND('Mapa final'!$I$190="Baja",'Mapa final'!$M$190="Leve"),CONCATENATE("R",'Mapa final'!$B$190),"")</f>
        <v/>
      </c>
      <c r="O36" s="219"/>
      <c r="P36" s="227" t="e">
        <f>IF(AND('Mapa final'!#REF!="Baja",'Mapa final'!#REF!="Menor"),CONCATENATE("R",'Mapa final'!#REF!),"")</f>
        <v>#REF!</v>
      </c>
      <c r="Q36" s="227"/>
      <c r="R36" s="227" t="str">
        <f>IF(AND('Mapa final'!$I$184="Baja",'Mapa final'!$M$184="Menor"),CONCATENATE("R",'Mapa final'!#REF!),"")</f>
        <v/>
      </c>
      <c r="S36" s="227"/>
      <c r="T36" s="227" t="str">
        <f>IF(AND('Mapa final'!$I$190="Baja",'Mapa final'!$M$190="Menor"),CONCATENATE("R",'Mapa final'!$B$190),"")</f>
        <v/>
      </c>
      <c r="U36" s="228"/>
      <c r="V36" s="226" t="e">
        <f>IF(AND('Mapa final'!#REF!="Baja",'Mapa final'!#REF!="Moderado"),CONCATENATE("R",'Mapa final'!#REF!),"")</f>
        <v>#REF!</v>
      </c>
      <c r="W36" s="227"/>
      <c r="X36" s="227" t="str">
        <f>IF(AND('Mapa final'!$I$184="Baja",'Mapa final'!$M$184="Moderado"),CONCATENATE("R",'Mapa final'!#REF!),"")</f>
        <v/>
      </c>
      <c r="Y36" s="227"/>
      <c r="Z36" s="227" t="str">
        <f>IF(AND('Mapa final'!$I$190="Baja",'Mapa final'!$M$190="Moderado"),CONCATENATE("R",'Mapa final'!$B$190),"")</f>
        <v/>
      </c>
      <c r="AA36" s="228"/>
      <c r="AB36" s="244" t="e">
        <f>IF(AND('Mapa final'!#REF!="Baja",'Mapa final'!#REF!="Mayor"),CONCATENATE("R",'Mapa final'!#REF!),"")</f>
        <v>#REF!</v>
      </c>
      <c r="AC36" s="245"/>
      <c r="AD36" s="245" t="str">
        <f>IF(AND('Mapa final'!$I$184="Baja",'Mapa final'!$M$184="Mayor"),CONCATENATE("R",'Mapa final'!#REF!),"")</f>
        <v/>
      </c>
      <c r="AE36" s="245"/>
      <c r="AF36" s="245" t="str">
        <f>IF(AND('Mapa final'!$I$190="Baja",'Mapa final'!$M$190="Mayor"),CONCATENATE("R",'Mapa final'!$B$190),"")</f>
        <v/>
      </c>
      <c r="AG36" s="246"/>
      <c r="AH36" s="235" t="e">
        <f>IF(AND('Mapa final'!#REF!="Baja",'Mapa final'!#REF!="Catastrófico"),CONCATENATE("R",'Mapa final'!#REF!),"")</f>
        <v>#REF!</v>
      </c>
      <c r="AI36" s="236"/>
      <c r="AJ36" s="236" t="str">
        <f>IF(AND('Mapa final'!$I$184="Baja",'Mapa final'!$M$184="Catastrófico"),CONCATENATE("R",'Mapa final'!#REF!),"")</f>
        <v/>
      </c>
      <c r="AK36" s="236"/>
      <c r="AL36" s="236" t="str">
        <f>IF(AND('Mapa final'!$I$190="Baja",'Mapa final'!$M$190="Catastrófico"),CONCATENATE("R",'Mapa final'!$B$190),"")</f>
        <v/>
      </c>
      <c r="AM36" s="237"/>
      <c r="AN36" s="40"/>
      <c r="AO36" s="296"/>
      <c r="AP36" s="297"/>
      <c r="AQ36" s="297"/>
      <c r="AR36" s="297"/>
      <c r="AS36" s="297"/>
      <c r="AT36" s="298"/>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row>
    <row r="37" spans="1:80" ht="15.75" thickBot="1" x14ac:dyDescent="0.3">
      <c r="A37" s="40"/>
      <c r="B37" s="264"/>
      <c r="C37" s="264"/>
      <c r="D37" s="265"/>
      <c r="E37" s="260"/>
      <c r="F37" s="261"/>
      <c r="G37" s="261"/>
      <c r="H37" s="261"/>
      <c r="I37" s="261"/>
      <c r="J37" s="220"/>
      <c r="K37" s="221"/>
      <c r="L37" s="221"/>
      <c r="M37" s="221"/>
      <c r="N37" s="221"/>
      <c r="O37" s="222"/>
      <c r="P37" s="230"/>
      <c r="Q37" s="230"/>
      <c r="R37" s="230"/>
      <c r="S37" s="230"/>
      <c r="T37" s="230"/>
      <c r="U37" s="231"/>
      <c r="V37" s="229"/>
      <c r="W37" s="230"/>
      <c r="X37" s="230"/>
      <c r="Y37" s="230"/>
      <c r="Z37" s="230"/>
      <c r="AA37" s="231"/>
      <c r="AB37" s="247"/>
      <c r="AC37" s="248"/>
      <c r="AD37" s="248"/>
      <c r="AE37" s="248"/>
      <c r="AF37" s="248"/>
      <c r="AG37" s="249"/>
      <c r="AH37" s="238"/>
      <c r="AI37" s="239"/>
      <c r="AJ37" s="239"/>
      <c r="AK37" s="239"/>
      <c r="AL37" s="239"/>
      <c r="AM37" s="240"/>
      <c r="AN37" s="40"/>
      <c r="AO37" s="299"/>
      <c r="AP37" s="300"/>
      <c r="AQ37" s="300"/>
      <c r="AR37" s="300"/>
      <c r="AS37" s="300"/>
      <c r="AT37" s="301"/>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row>
    <row r="38" spans="1:80" x14ac:dyDescent="0.25">
      <c r="A38" s="40"/>
      <c r="B38" s="264"/>
      <c r="C38" s="264"/>
      <c r="D38" s="265"/>
      <c r="E38" s="254" t="s">
        <v>51</v>
      </c>
      <c r="F38" s="255"/>
      <c r="G38" s="255"/>
      <c r="H38" s="255"/>
      <c r="I38" s="256"/>
      <c r="J38" s="223" t="str">
        <f>IF(AND('Mapa final'!$I$8="Muy Baja",'Mapa final'!$M$8="Leve"),CONCATENATE("R",'Mapa final'!$B$8),"")</f>
        <v/>
      </c>
      <c r="K38" s="224"/>
      <c r="L38" s="224" t="str">
        <f>IF(AND('Mapa final'!$I$14="Muy Baja",'Mapa final'!$M$14="Leve"),CONCATENATE("R",'Mapa final'!$B$14),"")</f>
        <v/>
      </c>
      <c r="M38" s="224"/>
      <c r="N38" s="224" t="str">
        <f>IF(AND('Mapa final'!$I$20="Muy Baja",'Mapa final'!$M$20="Leve"),CONCATENATE("R",'Mapa final'!$B$20),"")</f>
        <v/>
      </c>
      <c r="O38" s="225"/>
      <c r="P38" s="223" t="str">
        <f>IF(AND('Mapa final'!$I$8="Muy Baja",'Mapa final'!$M$8="Menor"),CONCATENATE("R",'Mapa final'!$B$8),"")</f>
        <v/>
      </c>
      <c r="Q38" s="224"/>
      <c r="R38" s="224" t="str">
        <f>IF(AND('Mapa final'!$I$14="Muy Baja",'Mapa final'!$M$14="Menor"),CONCATENATE("R",'Mapa final'!$B$14),"")</f>
        <v/>
      </c>
      <c r="S38" s="224"/>
      <c r="T38" s="224" t="str">
        <f>IF(AND('Mapa final'!$I$20="Muy Baja",'Mapa final'!$M$20="Menor"),CONCATENATE("R",'Mapa final'!$B$20),"")</f>
        <v/>
      </c>
      <c r="U38" s="225"/>
      <c r="V38" s="232" t="str">
        <f>IF(AND('Mapa final'!$I$8="Muy Baja",'Mapa final'!$M$8="Moderado"),CONCATENATE("R",'Mapa final'!$B$8),"")</f>
        <v/>
      </c>
      <c r="W38" s="233"/>
      <c r="X38" s="233" t="str">
        <f>IF(AND('Mapa final'!$I$14="Muy Baja",'Mapa final'!$M$14="Moderado"),CONCATENATE("R",'Mapa final'!$B$14),"")</f>
        <v/>
      </c>
      <c r="Y38" s="233"/>
      <c r="Z38" s="233" t="str">
        <f>IF(AND('Mapa final'!$I$20="Muy Baja",'Mapa final'!$M$20="Moderado"),CONCATENATE("R",'Mapa final'!$B$20),"")</f>
        <v/>
      </c>
      <c r="AA38" s="234"/>
      <c r="AB38" s="250" t="str">
        <f>IF(AND('Mapa final'!$I$8="Muy Baja",'Mapa final'!$M$8="Mayor"),CONCATENATE("R",'Mapa final'!$B$8),"")</f>
        <v/>
      </c>
      <c r="AC38" s="251"/>
      <c r="AD38" s="251" t="str">
        <f>IF(AND('Mapa final'!$I$14="Muy Baja",'Mapa final'!$M$14="Mayor"),CONCATENATE("R",'Mapa final'!$B$14),"")</f>
        <v/>
      </c>
      <c r="AE38" s="251"/>
      <c r="AF38" s="251" t="str">
        <f>IF(AND('Mapa final'!$I$20="Muy Baja",'Mapa final'!$M$20="Mayor"),CONCATENATE("R",'Mapa final'!$B$20),"")</f>
        <v/>
      </c>
      <c r="AG38" s="252"/>
      <c r="AH38" s="241" t="str">
        <f>IF(AND('Mapa final'!$I$8="Muy Baja",'Mapa final'!$M$8="Catastrófico"),CONCATENATE("R",'Mapa final'!$B$8),"")</f>
        <v/>
      </c>
      <c r="AI38" s="242"/>
      <c r="AJ38" s="242" t="str">
        <f>IF(AND('Mapa final'!$I$14="Muy Baja",'Mapa final'!$M$14="Catastrófico"),CONCATENATE("R",'Mapa final'!$B$14),"")</f>
        <v/>
      </c>
      <c r="AK38" s="242"/>
      <c r="AL38" s="242" t="str">
        <f>IF(AND('Mapa final'!$I$20="Muy Baja",'Mapa final'!$M$20="Catastrófico"),CONCATENATE("R",'Mapa final'!$B$20),"")</f>
        <v/>
      </c>
      <c r="AM38" s="243"/>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row>
    <row r="39" spans="1:80" x14ac:dyDescent="0.25">
      <c r="A39" s="40"/>
      <c r="B39" s="264"/>
      <c r="C39" s="264"/>
      <c r="D39" s="265"/>
      <c r="E39" s="257"/>
      <c r="F39" s="258"/>
      <c r="G39" s="258"/>
      <c r="H39" s="258"/>
      <c r="I39" s="259"/>
      <c r="J39" s="217"/>
      <c r="K39" s="218"/>
      <c r="L39" s="218"/>
      <c r="M39" s="218"/>
      <c r="N39" s="218"/>
      <c r="O39" s="219"/>
      <c r="P39" s="217"/>
      <c r="Q39" s="218"/>
      <c r="R39" s="218"/>
      <c r="S39" s="218"/>
      <c r="T39" s="218"/>
      <c r="U39" s="219"/>
      <c r="V39" s="226"/>
      <c r="W39" s="227"/>
      <c r="X39" s="227"/>
      <c r="Y39" s="227"/>
      <c r="Z39" s="227"/>
      <c r="AA39" s="228"/>
      <c r="AB39" s="244"/>
      <c r="AC39" s="245"/>
      <c r="AD39" s="245"/>
      <c r="AE39" s="245"/>
      <c r="AF39" s="245"/>
      <c r="AG39" s="246"/>
      <c r="AH39" s="235"/>
      <c r="AI39" s="236"/>
      <c r="AJ39" s="236"/>
      <c r="AK39" s="236"/>
      <c r="AL39" s="236"/>
      <c r="AM39" s="237"/>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row>
    <row r="40" spans="1:80" x14ac:dyDescent="0.25">
      <c r="A40" s="40"/>
      <c r="B40" s="264"/>
      <c r="C40" s="264"/>
      <c r="D40" s="265"/>
      <c r="E40" s="257"/>
      <c r="F40" s="258"/>
      <c r="G40" s="258"/>
      <c r="H40" s="258"/>
      <c r="I40" s="259"/>
      <c r="J40" s="217" t="str">
        <f>IF(AND('Mapa final'!$I$26="Muy Baja",'Mapa final'!$M$26="Leve"),CONCATENATE("R",'Mapa final'!$B$26),"")</f>
        <v/>
      </c>
      <c r="K40" s="218"/>
      <c r="L40" s="218" t="str">
        <f>IF(AND('Mapa final'!$I$32="Muy Baja",'Mapa final'!$M$32="Leve"),CONCATENATE("R",'Mapa final'!$B$32),"")</f>
        <v/>
      </c>
      <c r="M40" s="218"/>
      <c r="N40" s="218" t="str">
        <f>IF(AND('Mapa final'!$I$38="Muy Baja",'Mapa final'!$M$38="Leve"),CONCATENATE("R",'Mapa final'!$B$38),"")</f>
        <v/>
      </c>
      <c r="O40" s="219"/>
      <c r="P40" s="217" t="str">
        <f>IF(AND('Mapa final'!$I$26="Muy Baja",'Mapa final'!$M$26="Menor"),CONCATENATE("R",'Mapa final'!$B$26),"")</f>
        <v/>
      </c>
      <c r="Q40" s="218"/>
      <c r="R40" s="218" t="str">
        <f>IF(AND('Mapa final'!$I$32="Muy Baja",'Mapa final'!$M$32="Menor"),CONCATENATE("R",'Mapa final'!$B$32),"")</f>
        <v/>
      </c>
      <c r="S40" s="218"/>
      <c r="T40" s="218" t="str">
        <f>IF(AND('Mapa final'!$I$38="Muy Baja",'Mapa final'!$M$38="Menor"),CONCATENATE("R",'Mapa final'!$B$38),"")</f>
        <v/>
      </c>
      <c r="U40" s="219"/>
      <c r="V40" s="226" t="str">
        <f>IF(AND('Mapa final'!$I$26="Muy Baja",'Mapa final'!$M$26="Moderado"),CONCATENATE("R",'Mapa final'!$B$26),"")</f>
        <v/>
      </c>
      <c r="W40" s="227"/>
      <c r="X40" s="227" t="str">
        <f>IF(AND('Mapa final'!$I$32="Muy Baja",'Mapa final'!$M$32="Moderado"),CONCATENATE("R",'Mapa final'!$B$32),"")</f>
        <v/>
      </c>
      <c r="Y40" s="227"/>
      <c r="Z40" s="227" t="str">
        <f>IF(AND('Mapa final'!$I$38="Muy Baja",'Mapa final'!$M$38="Moderado"),CONCATENATE("R",'Mapa final'!$B$38),"")</f>
        <v/>
      </c>
      <c r="AA40" s="228"/>
      <c r="AB40" s="244" t="str">
        <f>IF(AND('Mapa final'!$I$26="Muy Baja",'Mapa final'!$M$26="Mayor"),CONCATENATE("R",'Mapa final'!$B$26),"")</f>
        <v/>
      </c>
      <c r="AC40" s="245"/>
      <c r="AD40" s="245" t="str">
        <f>IF(AND('Mapa final'!$I$32="Muy Baja",'Mapa final'!$M$32="Mayor"),CONCATENATE("R",'Mapa final'!$B$32),"")</f>
        <v/>
      </c>
      <c r="AE40" s="245"/>
      <c r="AF40" s="245" t="str">
        <f>IF(AND('Mapa final'!$I$38="Muy Baja",'Mapa final'!$M$38="Mayor"),CONCATENATE("R",'Mapa final'!$B$38),"")</f>
        <v/>
      </c>
      <c r="AG40" s="246"/>
      <c r="AH40" s="235" t="str">
        <f>IF(AND('Mapa final'!$I$26="Muy Baja",'Mapa final'!$M$26="Catastrófico"),CONCATENATE("R",'Mapa final'!$B$26),"")</f>
        <v/>
      </c>
      <c r="AI40" s="236"/>
      <c r="AJ40" s="236" t="str">
        <f>IF(AND('Mapa final'!$I$32="Muy Baja",'Mapa final'!$M$32="Catastrófico"),CONCATENATE("R",'Mapa final'!$B$32),"")</f>
        <v/>
      </c>
      <c r="AK40" s="236"/>
      <c r="AL40" s="236" t="str">
        <f>IF(AND('Mapa final'!$I$38="Muy Baja",'Mapa final'!$M$38="Catastrófico"),CONCATENATE("R",'Mapa final'!$B$38),"")</f>
        <v/>
      </c>
      <c r="AM40" s="237"/>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row>
    <row r="41" spans="1:80" x14ac:dyDescent="0.25">
      <c r="A41" s="40"/>
      <c r="B41" s="264"/>
      <c r="C41" s="264"/>
      <c r="D41" s="265"/>
      <c r="E41" s="257"/>
      <c r="F41" s="258"/>
      <c r="G41" s="258"/>
      <c r="H41" s="258"/>
      <c r="I41" s="259"/>
      <c r="J41" s="217"/>
      <c r="K41" s="218"/>
      <c r="L41" s="218"/>
      <c r="M41" s="218"/>
      <c r="N41" s="218"/>
      <c r="O41" s="219"/>
      <c r="P41" s="217"/>
      <c r="Q41" s="218"/>
      <c r="R41" s="218"/>
      <c r="S41" s="218"/>
      <c r="T41" s="218"/>
      <c r="U41" s="219"/>
      <c r="V41" s="226"/>
      <c r="W41" s="227"/>
      <c r="X41" s="227"/>
      <c r="Y41" s="227"/>
      <c r="Z41" s="227"/>
      <c r="AA41" s="228"/>
      <c r="AB41" s="244"/>
      <c r="AC41" s="245"/>
      <c r="AD41" s="245"/>
      <c r="AE41" s="245"/>
      <c r="AF41" s="245"/>
      <c r="AG41" s="246"/>
      <c r="AH41" s="235"/>
      <c r="AI41" s="236"/>
      <c r="AJ41" s="236"/>
      <c r="AK41" s="236"/>
      <c r="AL41" s="236"/>
      <c r="AM41" s="237"/>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row>
    <row r="42" spans="1:80" x14ac:dyDescent="0.25">
      <c r="A42" s="40"/>
      <c r="B42" s="264"/>
      <c r="C42" s="264"/>
      <c r="D42" s="265"/>
      <c r="E42" s="257"/>
      <c r="F42" s="258"/>
      <c r="G42" s="258"/>
      <c r="H42" s="258"/>
      <c r="I42" s="259"/>
      <c r="J42" s="217" t="str">
        <f>IF(AND('Mapa final'!$I$44="Muy Baja",'Mapa final'!$M$44="Leve"),CONCATENATE("R",'Mapa final'!$B$44),"")</f>
        <v/>
      </c>
      <c r="K42" s="218"/>
      <c r="L42" s="218" t="str">
        <f>IF(AND('Mapa final'!$I$50="Muy Baja",'Mapa final'!$M$50="Leve"),CONCATENATE("R",'Mapa final'!$B$50),"")</f>
        <v/>
      </c>
      <c r="M42" s="218"/>
      <c r="N42" s="218" t="str">
        <f>IF(AND('Mapa final'!$I$56="Muy Baja",'Mapa final'!$M$56="Leve"),CONCATENATE("R",'Mapa final'!$B$56),"")</f>
        <v/>
      </c>
      <c r="O42" s="219"/>
      <c r="P42" s="217" t="str">
        <f>IF(AND('Mapa final'!$I$44="Muy Baja",'Mapa final'!$M$44="Menor"),CONCATENATE("R",'Mapa final'!$B$44),"")</f>
        <v/>
      </c>
      <c r="Q42" s="218"/>
      <c r="R42" s="218" t="str">
        <f>IF(AND('Mapa final'!$I$50="Muy Baja",'Mapa final'!$M$50="Menor"),CONCATENATE("R",'Mapa final'!$B$50),"")</f>
        <v/>
      </c>
      <c r="S42" s="218"/>
      <c r="T42" s="218" t="str">
        <f>IF(AND('Mapa final'!$I$56="Muy Baja",'Mapa final'!$M$56="Menor"),CONCATENATE("R",'Mapa final'!$B$56),"")</f>
        <v/>
      </c>
      <c r="U42" s="219"/>
      <c r="V42" s="226" t="str">
        <f>IF(AND('Mapa final'!$I$44="Muy Baja",'Mapa final'!$M$44="Moderado"),CONCATENATE("R",'Mapa final'!$B$44),"")</f>
        <v/>
      </c>
      <c r="W42" s="227"/>
      <c r="X42" s="227" t="str">
        <f>IF(AND('Mapa final'!$I$50="Muy Baja",'Mapa final'!$M$50="Moderado"),CONCATENATE("R",'Mapa final'!$B$50),"")</f>
        <v/>
      </c>
      <c r="Y42" s="227"/>
      <c r="Z42" s="227" t="str">
        <f>IF(AND('Mapa final'!$I$56="Muy Baja",'Mapa final'!$M$56="Moderado"),CONCATENATE("R",'Mapa final'!$B$56),"")</f>
        <v/>
      </c>
      <c r="AA42" s="228"/>
      <c r="AB42" s="244" t="str">
        <f>IF(AND('Mapa final'!$I$44="Muy Baja",'Mapa final'!$M$44="Mayor"),CONCATENATE("R",'Mapa final'!$B$44),"")</f>
        <v/>
      </c>
      <c r="AC42" s="245"/>
      <c r="AD42" s="245" t="str">
        <f>IF(AND('Mapa final'!$I$50="Muy Baja",'Mapa final'!$M$50="Mayor"),CONCATENATE("R",'Mapa final'!$B$50),"")</f>
        <v/>
      </c>
      <c r="AE42" s="245"/>
      <c r="AF42" s="245" t="str">
        <f>IF(AND('Mapa final'!$I$56="Muy Baja",'Mapa final'!$M$56="Mayor"),CONCATENATE("R",'Mapa final'!$B$56),"")</f>
        <v/>
      </c>
      <c r="AG42" s="246"/>
      <c r="AH42" s="235" t="str">
        <f>IF(AND('Mapa final'!$I$44="Muy Baja",'Mapa final'!$M$44="Catastrófico"),CONCATENATE("R",'Mapa final'!$B$44),"")</f>
        <v/>
      </c>
      <c r="AI42" s="236"/>
      <c r="AJ42" s="236" t="str">
        <f>IF(AND('Mapa final'!$I$50="Muy Baja",'Mapa final'!$M$50="Catastrófico"),CONCATENATE("R",'Mapa final'!$B$50),"")</f>
        <v/>
      </c>
      <c r="AK42" s="236"/>
      <c r="AL42" s="236" t="str">
        <f>IF(AND('Mapa final'!$I$56="Muy Baja",'Mapa final'!$M$56="Catastrófico"),CONCATENATE("R",'Mapa final'!$B$56),"")</f>
        <v/>
      </c>
      <c r="AM42" s="237"/>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row>
    <row r="43" spans="1:80" x14ac:dyDescent="0.25">
      <c r="A43" s="40"/>
      <c r="B43" s="264"/>
      <c r="C43" s="264"/>
      <c r="D43" s="265"/>
      <c r="E43" s="257"/>
      <c r="F43" s="258"/>
      <c r="G43" s="258"/>
      <c r="H43" s="258"/>
      <c r="I43" s="259"/>
      <c r="J43" s="217"/>
      <c r="K43" s="218"/>
      <c r="L43" s="218"/>
      <c r="M43" s="218"/>
      <c r="N43" s="218"/>
      <c r="O43" s="219"/>
      <c r="P43" s="217"/>
      <c r="Q43" s="218"/>
      <c r="R43" s="218"/>
      <c r="S43" s="218"/>
      <c r="T43" s="218"/>
      <c r="U43" s="219"/>
      <c r="V43" s="226"/>
      <c r="W43" s="227"/>
      <c r="X43" s="227"/>
      <c r="Y43" s="227"/>
      <c r="Z43" s="227"/>
      <c r="AA43" s="228"/>
      <c r="AB43" s="244"/>
      <c r="AC43" s="245"/>
      <c r="AD43" s="245"/>
      <c r="AE43" s="245"/>
      <c r="AF43" s="245"/>
      <c r="AG43" s="246"/>
      <c r="AH43" s="235"/>
      <c r="AI43" s="236"/>
      <c r="AJ43" s="236"/>
      <c r="AK43" s="236"/>
      <c r="AL43" s="236"/>
      <c r="AM43" s="237"/>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row>
    <row r="44" spans="1:80" x14ac:dyDescent="0.25">
      <c r="A44" s="40"/>
      <c r="B44" s="264"/>
      <c r="C44" s="264"/>
      <c r="D44" s="265"/>
      <c r="E44" s="257"/>
      <c r="F44" s="258"/>
      <c r="G44" s="258"/>
      <c r="H44" s="258"/>
      <c r="I44" s="259"/>
      <c r="J44" s="217" t="e">
        <f>IF(AND('Mapa final'!#REF!="Muy Baja",'Mapa final'!#REF!="Leve"),CONCATENATE("R",'Mapa final'!#REF!),"")</f>
        <v>#REF!</v>
      </c>
      <c r="K44" s="218"/>
      <c r="L44" s="218" t="str">
        <f>IF(AND('Mapa final'!$I$184="Muy Baja",'Mapa final'!$M$184="Leve"),CONCATENATE("R",'Mapa final'!#REF!),"")</f>
        <v/>
      </c>
      <c r="M44" s="218"/>
      <c r="N44" s="218" t="str">
        <f>IF(AND('Mapa final'!$I$190="Muy Baja",'Mapa final'!$M$190="Leve"),CONCATENATE("R",'Mapa final'!$B$190),"")</f>
        <v/>
      </c>
      <c r="O44" s="219"/>
      <c r="P44" s="217" t="e">
        <f>IF(AND('Mapa final'!#REF!="Muy Baja",'Mapa final'!#REF!="Menor"),CONCATENATE("R",'Mapa final'!#REF!),"")</f>
        <v>#REF!</v>
      </c>
      <c r="Q44" s="218"/>
      <c r="R44" s="218" t="str">
        <f>IF(AND('Mapa final'!$I$184="Muy Baja",'Mapa final'!$M$184="Menor"),CONCATENATE("R",'Mapa final'!#REF!),"")</f>
        <v/>
      </c>
      <c r="S44" s="218"/>
      <c r="T44" s="218" t="str">
        <f>IF(AND('Mapa final'!$I$190="Muy Baja",'Mapa final'!$M$190="Menor"),CONCATENATE("R",'Mapa final'!$B$190),"")</f>
        <v/>
      </c>
      <c r="U44" s="219"/>
      <c r="V44" s="226" t="e">
        <f>IF(AND('Mapa final'!#REF!="Muy Baja",'Mapa final'!#REF!="Moderado"),CONCATENATE("R",'Mapa final'!#REF!),"")</f>
        <v>#REF!</v>
      </c>
      <c r="W44" s="227"/>
      <c r="X44" s="227" t="str">
        <f>IF(AND('Mapa final'!$I$184="Muy Baja",'Mapa final'!$M$184="Moderado"),CONCATENATE("R",'Mapa final'!#REF!),"")</f>
        <v/>
      </c>
      <c r="Y44" s="227"/>
      <c r="Z44" s="227" t="str">
        <f>IF(AND('Mapa final'!$I$190="Muy Baja",'Mapa final'!$M$190="Moderado"),CONCATENATE("R",'Mapa final'!$B$190),"")</f>
        <v/>
      </c>
      <c r="AA44" s="228"/>
      <c r="AB44" s="244" t="e">
        <f>IF(AND('Mapa final'!#REF!="Muy Baja",'Mapa final'!#REF!="Mayor"),CONCATENATE("R",'Mapa final'!#REF!),"")</f>
        <v>#REF!</v>
      </c>
      <c r="AC44" s="245"/>
      <c r="AD44" s="245" t="str">
        <f>IF(AND('Mapa final'!$I$184="Muy Baja",'Mapa final'!$M$184="Mayor"),CONCATENATE("R",'Mapa final'!#REF!),"")</f>
        <v/>
      </c>
      <c r="AE44" s="245"/>
      <c r="AF44" s="245" t="str">
        <f>IF(AND('Mapa final'!$I$190="Muy Baja",'Mapa final'!$M$190="Mayor"),CONCATENATE("R",'Mapa final'!$B$190),"")</f>
        <v/>
      </c>
      <c r="AG44" s="246"/>
      <c r="AH44" s="235" t="e">
        <f>IF(AND('Mapa final'!#REF!="Muy Baja",'Mapa final'!#REF!="Catastrófico"),CONCATENATE("R",'Mapa final'!#REF!),"")</f>
        <v>#REF!</v>
      </c>
      <c r="AI44" s="236"/>
      <c r="AJ44" s="236" t="str">
        <f>IF(AND('Mapa final'!$I$184="Muy Baja",'Mapa final'!$M$184="Catastrófico"),CONCATENATE("R",'Mapa final'!#REF!),"")</f>
        <v/>
      </c>
      <c r="AK44" s="236"/>
      <c r="AL44" s="236" t="str">
        <f>IF(AND('Mapa final'!$I$190="Muy Baja",'Mapa final'!$M$190="Catastrófico"),CONCATENATE("R",'Mapa final'!$B$190),"")</f>
        <v/>
      </c>
      <c r="AM44" s="237"/>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row>
    <row r="45" spans="1:80" ht="15.75" thickBot="1" x14ac:dyDescent="0.3">
      <c r="A45" s="40"/>
      <c r="B45" s="264"/>
      <c r="C45" s="264"/>
      <c r="D45" s="265"/>
      <c r="E45" s="260"/>
      <c r="F45" s="261"/>
      <c r="G45" s="261"/>
      <c r="H45" s="261"/>
      <c r="I45" s="262"/>
      <c r="J45" s="220"/>
      <c r="K45" s="221"/>
      <c r="L45" s="221"/>
      <c r="M45" s="221"/>
      <c r="N45" s="221"/>
      <c r="O45" s="222"/>
      <c r="P45" s="220"/>
      <c r="Q45" s="221"/>
      <c r="R45" s="221"/>
      <c r="S45" s="221"/>
      <c r="T45" s="221"/>
      <c r="U45" s="222"/>
      <c r="V45" s="229"/>
      <c r="W45" s="230"/>
      <c r="X45" s="230"/>
      <c r="Y45" s="230"/>
      <c r="Z45" s="230"/>
      <c r="AA45" s="231"/>
      <c r="AB45" s="247"/>
      <c r="AC45" s="248"/>
      <c r="AD45" s="248"/>
      <c r="AE45" s="248"/>
      <c r="AF45" s="248"/>
      <c r="AG45" s="249"/>
      <c r="AH45" s="238"/>
      <c r="AI45" s="239"/>
      <c r="AJ45" s="239"/>
      <c r="AK45" s="239"/>
      <c r="AL45" s="239"/>
      <c r="AM45" s="2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row>
    <row r="46" spans="1:80" x14ac:dyDescent="0.25">
      <c r="A46" s="40"/>
      <c r="B46" s="40"/>
      <c r="C46" s="40"/>
      <c r="D46" s="40"/>
      <c r="E46" s="40"/>
      <c r="F46" s="40"/>
      <c r="G46" s="40"/>
      <c r="H46" s="40"/>
      <c r="I46" s="40"/>
      <c r="J46" s="254" t="s">
        <v>52</v>
      </c>
      <c r="K46" s="255"/>
      <c r="L46" s="255"/>
      <c r="M46" s="255"/>
      <c r="N46" s="255"/>
      <c r="O46" s="256"/>
      <c r="P46" s="254" t="s">
        <v>53</v>
      </c>
      <c r="Q46" s="255"/>
      <c r="R46" s="255"/>
      <c r="S46" s="255"/>
      <c r="T46" s="255"/>
      <c r="U46" s="256"/>
      <c r="V46" s="254" t="s">
        <v>54</v>
      </c>
      <c r="W46" s="255"/>
      <c r="X46" s="255"/>
      <c r="Y46" s="255"/>
      <c r="Z46" s="255"/>
      <c r="AA46" s="256"/>
      <c r="AB46" s="254" t="s">
        <v>55</v>
      </c>
      <c r="AC46" s="263"/>
      <c r="AD46" s="255"/>
      <c r="AE46" s="255"/>
      <c r="AF46" s="255"/>
      <c r="AG46" s="256"/>
      <c r="AH46" s="254" t="s">
        <v>56</v>
      </c>
      <c r="AI46" s="255"/>
      <c r="AJ46" s="255"/>
      <c r="AK46" s="255"/>
      <c r="AL46" s="255"/>
      <c r="AM46" s="256"/>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row>
    <row r="47" spans="1:80" x14ac:dyDescent="0.25">
      <c r="A47" s="40"/>
      <c r="B47" s="40"/>
      <c r="C47" s="40"/>
      <c r="D47" s="40"/>
      <c r="E47" s="40"/>
      <c r="F47" s="40"/>
      <c r="G47" s="40"/>
      <c r="H47" s="40"/>
      <c r="I47" s="40"/>
      <c r="J47" s="257"/>
      <c r="K47" s="258"/>
      <c r="L47" s="258"/>
      <c r="M47" s="258"/>
      <c r="N47" s="258"/>
      <c r="O47" s="259"/>
      <c r="P47" s="257"/>
      <c r="Q47" s="258"/>
      <c r="R47" s="258"/>
      <c r="S47" s="258"/>
      <c r="T47" s="258"/>
      <c r="U47" s="259"/>
      <c r="V47" s="257"/>
      <c r="W47" s="258"/>
      <c r="X47" s="258"/>
      <c r="Y47" s="258"/>
      <c r="Z47" s="258"/>
      <c r="AA47" s="259"/>
      <c r="AB47" s="257"/>
      <c r="AC47" s="258"/>
      <c r="AD47" s="258"/>
      <c r="AE47" s="258"/>
      <c r="AF47" s="258"/>
      <c r="AG47" s="259"/>
      <c r="AH47" s="257"/>
      <c r="AI47" s="258"/>
      <c r="AJ47" s="258"/>
      <c r="AK47" s="258"/>
      <c r="AL47" s="258"/>
      <c r="AM47" s="259"/>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row>
    <row r="48" spans="1:80" x14ac:dyDescent="0.25">
      <c r="A48" s="40"/>
      <c r="B48" s="40"/>
      <c r="C48" s="40"/>
      <c r="D48" s="40"/>
      <c r="E48" s="40"/>
      <c r="F48" s="40"/>
      <c r="G48" s="40"/>
      <c r="H48" s="40"/>
      <c r="I48" s="40"/>
      <c r="J48" s="257"/>
      <c r="K48" s="258"/>
      <c r="L48" s="258"/>
      <c r="M48" s="258"/>
      <c r="N48" s="258"/>
      <c r="O48" s="259"/>
      <c r="P48" s="257"/>
      <c r="Q48" s="258"/>
      <c r="R48" s="258"/>
      <c r="S48" s="258"/>
      <c r="T48" s="258"/>
      <c r="U48" s="259"/>
      <c r="V48" s="257"/>
      <c r="W48" s="258"/>
      <c r="X48" s="258"/>
      <c r="Y48" s="258"/>
      <c r="Z48" s="258"/>
      <c r="AA48" s="259"/>
      <c r="AB48" s="257"/>
      <c r="AC48" s="258"/>
      <c r="AD48" s="258"/>
      <c r="AE48" s="258"/>
      <c r="AF48" s="258"/>
      <c r="AG48" s="259"/>
      <c r="AH48" s="257"/>
      <c r="AI48" s="258"/>
      <c r="AJ48" s="258"/>
      <c r="AK48" s="258"/>
      <c r="AL48" s="258"/>
      <c r="AM48" s="259"/>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row>
    <row r="49" spans="1:80" x14ac:dyDescent="0.25">
      <c r="A49" s="40"/>
      <c r="B49" s="40"/>
      <c r="C49" s="40"/>
      <c r="D49" s="40"/>
      <c r="E49" s="40"/>
      <c r="F49" s="40"/>
      <c r="G49" s="40"/>
      <c r="H49" s="40"/>
      <c r="I49" s="40"/>
      <c r="J49" s="257"/>
      <c r="K49" s="258"/>
      <c r="L49" s="258"/>
      <c r="M49" s="258"/>
      <c r="N49" s="258"/>
      <c r="O49" s="259"/>
      <c r="P49" s="257"/>
      <c r="Q49" s="258"/>
      <c r="R49" s="258"/>
      <c r="S49" s="258"/>
      <c r="T49" s="258"/>
      <c r="U49" s="259"/>
      <c r="V49" s="257"/>
      <c r="W49" s="258"/>
      <c r="X49" s="258"/>
      <c r="Y49" s="258"/>
      <c r="Z49" s="258"/>
      <c r="AA49" s="259"/>
      <c r="AB49" s="257"/>
      <c r="AC49" s="258"/>
      <c r="AD49" s="258"/>
      <c r="AE49" s="258"/>
      <c r="AF49" s="258"/>
      <c r="AG49" s="259"/>
      <c r="AH49" s="257"/>
      <c r="AI49" s="258"/>
      <c r="AJ49" s="258"/>
      <c r="AK49" s="258"/>
      <c r="AL49" s="258"/>
      <c r="AM49" s="259"/>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row>
    <row r="50" spans="1:80" x14ac:dyDescent="0.25">
      <c r="A50" s="40"/>
      <c r="B50" s="40"/>
      <c r="C50" s="40"/>
      <c r="D50" s="40"/>
      <c r="E50" s="40"/>
      <c r="F50" s="40"/>
      <c r="G50" s="40"/>
      <c r="H50" s="40"/>
      <c r="I50" s="40"/>
      <c r="J50" s="257"/>
      <c r="K50" s="258"/>
      <c r="L50" s="258"/>
      <c r="M50" s="258"/>
      <c r="N50" s="258"/>
      <c r="O50" s="259"/>
      <c r="P50" s="257"/>
      <c r="Q50" s="258"/>
      <c r="R50" s="258"/>
      <c r="S50" s="258"/>
      <c r="T50" s="258"/>
      <c r="U50" s="259"/>
      <c r="V50" s="257"/>
      <c r="W50" s="258"/>
      <c r="X50" s="258"/>
      <c r="Y50" s="258"/>
      <c r="Z50" s="258"/>
      <c r="AA50" s="259"/>
      <c r="AB50" s="257"/>
      <c r="AC50" s="258"/>
      <c r="AD50" s="258"/>
      <c r="AE50" s="258"/>
      <c r="AF50" s="258"/>
      <c r="AG50" s="259"/>
      <c r="AH50" s="257"/>
      <c r="AI50" s="258"/>
      <c r="AJ50" s="258"/>
      <c r="AK50" s="258"/>
      <c r="AL50" s="258"/>
      <c r="AM50" s="259"/>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row>
    <row r="51" spans="1:80" ht="15.75" thickBot="1" x14ac:dyDescent="0.3">
      <c r="A51" s="40"/>
      <c r="B51" s="40"/>
      <c r="C51" s="40"/>
      <c r="D51" s="40"/>
      <c r="E51" s="40"/>
      <c r="F51" s="40"/>
      <c r="G51" s="40"/>
      <c r="H51" s="40"/>
      <c r="I51" s="40"/>
      <c r="J51" s="260"/>
      <c r="K51" s="261"/>
      <c r="L51" s="261"/>
      <c r="M51" s="261"/>
      <c r="N51" s="261"/>
      <c r="O51" s="262"/>
      <c r="P51" s="260"/>
      <c r="Q51" s="261"/>
      <c r="R51" s="261"/>
      <c r="S51" s="261"/>
      <c r="T51" s="261"/>
      <c r="U51" s="262"/>
      <c r="V51" s="260"/>
      <c r="W51" s="261"/>
      <c r="X51" s="261"/>
      <c r="Y51" s="261"/>
      <c r="Z51" s="261"/>
      <c r="AA51" s="262"/>
      <c r="AB51" s="260"/>
      <c r="AC51" s="261"/>
      <c r="AD51" s="261"/>
      <c r="AE51" s="261"/>
      <c r="AF51" s="261"/>
      <c r="AG51" s="262"/>
      <c r="AH51" s="260"/>
      <c r="AI51" s="261"/>
      <c r="AJ51" s="261"/>
      <c r="AK51" s="261"/>
      <c r="AL51" s="261"/>
      <c r="AM51" s="262"/>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row>
    <row r="52" spans="1:80" x14ac:dyDescent="0.25">
      <c r="A52" s="40"/>
      <c r="B52" s="40"/>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row>
    <row r="53" spans="1:80" ht="15" customHeight="1" x14ac:dyDescent="0.25">
      <c r="A53" s="40"/>
      <c r="B53" s="41"/>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c r="AE53" s="41"/>
      <c r="AF53" s="41"/>
      <c r="AG53" s="41"/>
      <c r="AH53" s="41"/>
      <c r="AI53" s="41"/>
      <c r="AJ53" s="41"/>
      <c r="AK53" s="41"/>
      <c r="AL53" s="41"/>
      <c r="AM53" s="41"/>
      <c r="AN53" s="41"/>
      <c r="AO53" s="41"/>
      <c r="AP53" s="41"/>
      <c r="AQ53" s="41"/>
      <c r="AR53" s="41"/>
      <c r="AS53" s="41"/>
      <c r="AT53" s="41"/>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row>
    <row r="54" spans="1:80" ht="15" customHeight="1" x14ac:dyDescent="0.25">
      <c r="A54" s="40"/>
      <c r="B54" s="41"/>
      <c r="C54" s="41"/>
      <c r="D54" s="41"/>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c r="AJ54" s="41"/>
      <c r="AK54" s="41"/>
      <c r="AL54" s="41"/>
      <c r="AM54" s="41"/>
      <c r="AN54" s="41"/>
      <c r="AO54" s="41"/>
      <c r="AP54" s="41"/>
      <c r="AQ54" s="41"/>
      <c r="AR54" s="41"/>
      <c r="AS54" s="41"/>
      <c r="AT54" s="41"/>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row>
    <row r="55" spans="1:80" x14ac:dyDescent="0.25">
      <c r="A55" s="40"/>
      <c r="B55" s="40"/>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row>
    <row r="56" spans="1:80" x14ac:dyDescent="0.25">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row>
    <row r="57" spans="1:80" x14ac:dyDescent="0.25">
      <c r="A57" s="40"/>
      <c r="B57" s="40"/>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row>
    <row r="58" spans="1:80" x14ac:dyDescent="0.25">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row>
    <row r="59" spans="1:80" x14ac:dyDescent="0.25">
      <c r="A59" s="40"/>
      <c r="B59" s="40"/>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row>
    <row r="60" spans="1:80" x14ac:dyDescent="0.25">
      <c r="A60" s="40"/>
      <c r="B60" s="40"/>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row>
    <row r="61" spans="1:80" x14ac:dyDescent="0.25">
      <c r="A61" s="40"/>
      <c r="B61" s="40"/>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row>
    <row r="62" spans="1:80" x14ac:dyDescent="0.25">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row>
    <row r="63" spans="1:80" x14ac:dyDescent="0.25">
      <c r="A63" s="40"/>
      <c r="B63" s="40"/>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row>
    <row r="64" spans="1:80" x14ac:dyDescent="0.25">
      <c r="A64" s="40"/>
      <c r="B64" s="40"/>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row>
    <row r="65" spans="1:80" x14ac:dyDescent="0.2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row>
    <row r="66" spans="1:80" x14ac:dyDescent="0.25">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row>
    <row r="67" spans="1:80" x14ac:dyDescent="0.25">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row>
    <row r="68" spans="1:80" x14ac:dyDescent="0.25">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row>
    <row r="69" spans="1:80" x14ac:dyDescent="0.25">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row>
    <row r="70" spans="1:80" x14ac:dyDescent="0.25">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row>
    <row r="71" spans="1:80" x14ac:dyDescent="0.25">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row>
    <row r="72" spans="1:80" x14ac:dyDescent="0.25">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row>
    <row r="73" spans="1:80" x14ac:dyDescent="0.25">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row>
    <row r="74" spans="1:80" x14ac:dyDescent="0.2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row>
    <row r="75" spans="1:80" x14ac:dyDescent="0.2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row>
    <row r="76" spans="1:80" x14ac:dyDescent="0.25">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row>
    <row r="77" spans="1:80" x14ac:dyDescent="0.25">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row>
    <row r="78" spans="1:80" x14ac:dyDescent="0.25">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row>
    <row r="79" spans="1:80" x14ac:dyDescent="0.25">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row>
    <row r="80" spans="1:80" x14ac:dyDescent="0.25">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row>
    <row r="81" spans="1:63" x14ac:dyDescent="0.25">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row>
    <row r="82" spans="1:63" x14ac:dyDescent="0.25">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row>
    <row r="83" spans="1:63" x14ac:dyDescent="0.25">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row>
    <row r="84" spans="1:63" x14ac:dyDescent="0.25">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row>
    <row r="85" spans="1:63" x14ac:dyDescent="0.2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row>
    <row r="86" spans="1:63" x14ac:dyDescent="0.25">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row>
    <row r="87" spans="1:63" x14ac:dyDescent="0.25">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row>
    <row r="88" spans="1:63" x14ac:dyDescent="0.25">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row>
    <row r="89" spans="1:63" x14ac:dyDescent="0.25">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row>
    <row r="90" spans="1:63" x14ac:dyDescent="0.25">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row>
    <row r="91" spans="1:63" x14ac:dyDescent="0.25">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row>
    <row r="92" spans="1:63" x14ac:dyDescent="0.25">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row>
    <row r="93" spans="1:63" x14ac:dyDescent="0.25">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row>
    <row r="94" spans="1:63" x14ac:dyDescent="0.25">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row>
    <row r="95" spans="1:63" x14ac:dyDescent="0.2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row>
    <row r="96" spans="1:63" x14ac:dyDescent="0.25">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row>
    <row r="97" spans="1:63" x14ac:dyDescent="0.25">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row>
    <row r="98" spans="1:63" x14ac:dyDescent="0.25">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row>
    <row r="99" spans="1:63" x14ac:dyDescent="0.25">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row>
    <row r="100" spans="1:63" x14ac:dyDescent="0.25">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row>
    <row r="101" spans="1:63" x14ac:dyDescent="0.25">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row>
    <row r="102" spans="1:63" x14ac:dyDescent="0.25">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row>
    <row r="103" spans="1:63" x14ac:dyDescent="0.25">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row>
    <row r="104" spans="1:63" x14ac:dyDescent="0.25">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row>
    <row r="105" spans="1:63" x14ac:dyDescent="0.2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row>
    <row r="106" spans="1:63" x14ac:dyDescent="0.25">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row>
    <row r="107" spans="1:63" x14ac:dyDescent="0.25">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row>
    <row r="108" spans="1:63" x14ac:dyDescent="0.25">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row>
    <row r="109" spans="1:63" x14ac:dyDescent="0.25">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row>
    <row r="110" spans="1:63" x14ac:dyDescent="0.25">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row>
    <row r="111" spans="1:63" x14ac:dyDescent="0.25">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row>
    <row r="112" spans="1:63" x14ac:dyDescent="0.25">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row>
    <row r="113" spans="1:63" x14ac:dyDescent="0.25">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row>
    <row r="114" spans="1:63" x14ac:dyDescent="0.25">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row>
    <row r="115" spans="1:63" x14ac:dyDescent="0.2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row>
    <row r="116" spans="1:63" x14ac:dyDescent="0.25">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row>
    <row r="117" spans="1:63" x14ac:dyDescent="0.25">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row>
    <row r="118" spans="1:63" x14ac:dyDescent="0.25">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row>
    <row r="119" spans="1:63" x14ac:dyDescent="0.25">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row>
    <row r="120" spans="1:63" x14ac:dyDescent="0.25">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row>
    <row r="121" spans="1:63" x14ac:dyDescent="0.25">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row>
    <row r="122" spans="1:63" x14ac:dyDescent="0.25">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row>
    <row r="123" spans="1:63" x14ac:dyDescent="0.25">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row>
    <row r="124" spans="1:63" x14ac:dyDescent="0.25">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row>
    <row r="125" spans="1:63" x14ac:dyDescent="0.25">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row>
    <row r="126" spans="1:63" x14ac:dyDescent="0.25">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row>
    <row r="127" spans="1:63" x14ac:dyDescent="0.25">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row>
    <row r="128" spans="1:63" x14ac:dyDescent="0.25">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row>
    <row r="129" spans="2:63" x14ac:dyDescent="0.25">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row>
    <row r="130" spans="2:63" x14ac:dyDescent="0.25">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row>
    <row r="131" spans="2:63" x14ac:dyDescent="0.25">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row>
    <row r="132" spans="2:63" x14ac:dyDescent="0.25">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row>
    <row r="133" spans="2:63" x14ac:dyDescent="0.25">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row>
    <row r="134" spans="2:63" x14ac:dyDescent="0.25">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row>
    <row r="135" spans="2:63" x14ac:dyDescent="0.25">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row>
    <row r="136" spans="2:63" x14ac:dyDescent="0.25">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row>
    <row r="137" spans="2:63" x14ac:dyDescent="0.25">
      <c r="B137" s="40"/>
      <c r="C137" s="40"/>
      <c r="D137" s="40"/>
      <c r="E137" s="40"/>
      <c r="F137" s="40"/>
      <c r="G137" s="40"/>
      <c r="H137" s="40"/>
      <c r="I137" s="40"/>
    </row>
    <row r="138" spans="2:63" x14ac:dyDescent="0.25">
      <c r="B138" s="40"/>
      <c r="C138" s="40"/>
      <c r="D138" s="40"/>
      <c r="E138" s="40"/>
      <c r="F138" s="40"/>
      <c r="G138" s="40"/>
      <c r="H138" s="40"/>
      <c r="I138" s="40"/>
    </row>
    <row r="139" spans="2:63" x14ac:dyDescent="0.25">
      <c r="B139" s="40"/>
      <c r="C139" s="40"/>
      <c r="D139" s="40"/>
      <c r="E139" s="40"/>
      <c r="F139" s="40"/>
      <c r="G139" s="40"/>
      <c r="H139" s="40"/>
      <c r="I139" s="40"/>
    </row>
    <row r="140" spans="2:63" x14ac:dyDescent="0.25">
      <c r="B140" s="40"/>
      <c r="C140" s="40"/>
      <c r="D140" s="40"/>
      <c r="E140" s="40"/>
      <c r="F140" s="40"/>
      <c r="G140" s="40"/>
      <c r="H140" s="40"/>
      <c r="I140" s="40"/>
    </row>
  </sheetData>
  <sheetProtection algorithmName="SHA-512" hashValue="kpXlidzmWxbP3brn8k4eIEWxhYHkoNV8mMuhH1lPT/xypiCOesm15jiCfvbsOoPDCD8/umcOeC7isQqNzzQXVQ==" saltValue="e8t6+j8RQ+iPDyNDapgnxw==" spinCount="100000" sheet="1" objects="1" scenarios="1"/>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M248"/>
  <sheetViews>
    <sheetView zoomScale="30" zoomScaleNormal="30" workbookViewId="0">
      <selection activeCell="J56" sqref="J56:O61"/>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row>
    <row r="2" spans="1:91" ht="18" customHeight="1" x14ac:dyDescent="0.25">
      <c r="A2" s="40"/>
      <c r="B2" s="331" t="s">
        <v>57</v>
      </c>
      <c r="C2" s="332"/>
      <c r="D2" s="332"/>
      <c r="E2" s="332"/>
      <c r="F2" s="332"/>
      <c r="G2" s="332"/>
      <c r="H2" s="332"/>
      <c r="I2" s="332"/>
      <c r="J2" s="253" t="s">
        <v>41</v>
      </c>
      <c r="K2" s="253"/>
      <c r="L2" s="253"/>
      <c r="M2" s="253"/>
      <c r="N2" s="253"/>
      <c r="O2" s="253"/>
      <c r="P2" s="253"/>
      <c r="Q2" s="253"/>
      <c r="R2" s="253"/>
      <c r="S2" s="253"/>
      <c r="T2" s="253"/>
      <c r="U2" s="253"/>
      <c r="V2" s="253"/>
      <c r="W2" s="253"/>
      <c r="X2" s="253"/>
      <c r="Y2" s="253"/>
      <c r="Z2" s="253"/>
      <c r="AA2" s="253"/>
      <c r="AB2" s="253"/>
      <c r="AC2" s="253"/>
      <c r="AD2" s="253"/>
      <c r="AE2" s="253"/>
      <c r="AF2" s="253"/>
      <c r="AG2" s="253"/>
      <c r="AH2" s="253"/>
      <c r="AI2" s="253"/>
      <c r="AJ2" s="253"/>
      <c r="AK2" s="253"/>
      <c r="AL2" s="253"/>
      <c r="AM2" s="253"/>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row>
    <row r="3" spans="1:91" ht="18.75" customHeight="1" x14ac:dyDescent="0.25">
      <c r="A3" s="40"/>
      <c r="B3" s="332"/>
      <c r="C3" s="332"/>
      <c r="D3" s="332"/>
      <c r="E3" s="332"/>
      <c r="F3" s="332"/>
      <c r="G3" s="332"/>
      <c r="H3" s="332"/>
      <c r="I3" s="332"/>
      <c r="J3" s="253"/>
      <c r="K3" s="253"/>
      <c r="L3" s="253"/>
      <c r="M3" s="253"/>
      <c r="N3" s="253"/>
      <c r="O3" s="253"/>
      <c r="P3" s="253"/>
      <c r="Q3" s="253"/>
      <c r="R3" s="253"/>
      <c r="S3" s="253"/>
      <c r="T3" s="253"/>
      <c r="U3" s="253"/>
      <c r="V3" s="253"/>
      <c r="W3" s="253"/>
      <c r="X3" s="253"/>
      <c r="Y3" s="253"/>
      <c r="Z3" s="253"/>
      <c r="AA3" s="253"/>
      <c r="AB3" s="253"/>
      <c r="AC3" s="253"/>
      <c r="AD3" s="253"/>
      <c r="AE3" s="253"/>
      <c r="AF3" s="253"/>
      <c r="AG3" s="253"/>
      <c r="AH3" s="253"/>
      <c r="AI3" s="253"/>
      <c r="AJ3" s="253"/>
      <c r="AK3" s="253"/>
      <c r="AL3" s="253"/>
      <c r="AM3" s="253"/>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row>
    <row r="4" spans="1:91" ht="15" customHeight="1" x14ac:dyDescent="0.25">
      <c r="A4" s="40"/>
      <c r="B4" s="332"/>
      <c r="C4" s="332"/>
      <c r="D4" s="332"/>
      <c r="E4" s="332"/>
      <c r="F4" s="332"/>
      <c r="G4" s="332"/>
      <c r="H4" s="332"/>
      <c r="I4" s="332"/>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row>
    <row r="5" spans="1:91" ht="15.75" thickBot="1" x14ac:dyDescent="0.3">
      <c r="A5" s="40"/>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row>
    <row r="6" spans="1:91" ht="15" customHeight="1" x14ac:dyDescent="0.25">
      <c r="A6" s="40"/>
      <c r="B6" s="264" t="s">
        <v>42</v>
      </c>
      <c r="C6" s="264"/>
      <c r="D6" s="265"/>
      <c r="E6" s="302" t="s">
        <v>43</v>
      </c>
      <c r="F6" s="303"/>
      <c r="G6" s="303"/>
      <c r="H6" s="303"/>
      <c r="I6" s="304"/>
      <c r="J6" s="3" t="str">
        <f>IF(AND('Mapa final'!$Z$8="Muy Alta",'Mapa final'!$AB$8="Leve"),CONCATENATE("R1C",'Mapa final'!$P$8),"")</f>
        <v/>
      </c>
      <c r="K6" s="4" t="str">
        <f>IF(AND('Mapa final'!$Z$9="Muy Alta",'Mapa final'!$AB$9="Leve"),CONCATENATE("R1C",'Mapa final'!$P$9),"")</f>
        <v/>
      </c>
      <c r="L6" s="4" t="str">
        <f>IF(AND('Mapa final'!$Z$10="Muy Alta",'Mapa final'!$AB$10="Leve"),CONCATENATE("R1C",'Mapa final'!$P$10),"")</f>
        <v/>
      </c>
      <c r="M6" s="4" t="str">
        <f>IF(AND('Mapa final'!$Z$11="Muy Alta",'Mapa final'!$AB$11="Leve"),CONCATENATE("R1C",'Mapa final'!$P$11),"")</f>
        <v/>
      </c>
      <c r="N6" s="4" t="str">
        <f>IF(AND('Mapa final'!$Z$12="Muy Alta",'Mapa final'!$AB$12="Leve"),CONCATENATE("R1C",'Mapa final'!$P$12),"")</f>
        <v/>
      </c>
      <c r="O6" s="5" t="str">
        <f>IF(AND('Mapa final'!$Z$13="Muy Alta",'Mapa final'!$AB$13="Leve"),CONCATENATE("R1C",'Mapa final'!$P$13),"")</f>
        <v/>
      </c>
      <c r="P6" s="3" t="str">
        <f>IF(AND('Mapa final'!$Z$8="Muy Alta",'Mapa final'!$AB$8="Menor"),CONCATENATE("R1C",'Mapa final'!$P$8),"")</f>
        <v/>
      </c>
      <c r="Q6" s="4" t="str">
        <f>IF(AND('Mapa final'!$Z$9="Muy Alta",'Mapa final'!$AB$9="Menor"),CONCATENATE("R1C",'Mapa final'!$P$9),"")</f>
        <v/>
      </c>
      <c r="R6" s="4" t="str">
        <f>IF(AND('Mapa final'!$Z$10="Muy Alta",'Mapa final'!$AB$10="Menor"),CONCATENATE("R1C",'Mapa final'!$P$10),"")</f>
        <v/>
      </c>
      <c r="S6" s="4" t="str">
        <f>IF(AND('Mapa final'!$Z$11="Muy Alta",'Mapa final'!$AB$11="Menor"),CONCATENATE("R1C",'Mapa final'!$P$11),"")</f>
        <v/>
      </c>
      <c r="T6" s="4" t="str">
        <f>IF(AND('Mapa final'!$Z$12="Muy Alta",'Mapa final'!$AB$12="Menor"),CONCATENATE("R1C",'Mapa final'!$P$12),"")</f>
        <v/>
      </c>
      <c r="U6" s="5" t="str">
        <f>IF(AND('Mapa final'!$Z$13="Muy Alta",'Mapa final'!$AB$13="Menor"),CONCATENATE("R1C",'Mapa final'!$P$13),"")</f>
        <v/>
      </c>
      <c r="V6" s="3" t="str">
        <f>IF(AND('Mapa final'!$Z$8="Muy Alta",'Mapa final'!$AB$8="Moderado"),CONCATENATE("R1C",'Mapa final'!$P$8),"")</f>
        <v/>
      </c>
      <c r="W6" s="4" t="str">
        <f>IF(AND('Mapa final'!$Z$9="Muy Alta",'Mapa final'!$AB$9="Moderado"),CONCATENATE("R1C",'Mapa final'!$P$9),"")</f>
        <v/>
      </c>
      <c r="X6" s="4" t="str">
        <f>IF(AND('Mapa final'!$Z$10="Muy Alta",'Mapa final'!$AB$10="Moderado"),CONCATENATE("R1C",'Mapa final'!$P$10),"")</f>
        <v/>
      </c>
      <c r="Y6" s="4" t="str">
        <f>IF(AND('Mapa final'!$Z$11="Muy Alta",'Mapa final'!$AB$11="Moderado"),CONCATENATE("R1C",'Mapa final'!$P$11),"")</f>
        <v/>
      </c>
      <c r="Z6" s="4" t="str">
        <f>IF(AND('Mapa final'!$Z$12="Muy Alta",'Mapa final'!$AB$12="Moderado"),CONCATENATE("R1C",'Mapa final'!$P$12),"")</f>
        <v/>
      </c>
      <c r="AA6" s="5" t="str">
        <f>IF(AND('Mapa final'!$Z$13="Muy Alta",'Mapa final'!$AB$13="Moderado"),CONCATENATE("R1C",'Mapa final'!$P$13),"")</f>
        <v/>
      </c>
      <c r="AB6" s="3" t="str">
        <f>IF(AND('Mapa final'!$Z$8="Muy Alta",'Mapa final'!$AB$8="Mayor"),CONCATENATE("R1C",'Mapa final'!$P$8),"")</f>
        <v/>
      </c>
      <c r="AC6" s="4" t="str">
        <f>IF(AND('Mapa final'!$Z$9="Muy Alta",'Mapa final'!$AB$9="Mayor"),CONCATENATE("R1C",'Mapa final'!$P$9),"")</f>
        <v/>
      </c>
      <c r="AD6" s="4" t="str">
        <f>IF(AND('Mapa final'!$Z$10="Muy Alta",'Mapa final'!$AB$10="Mayor"),CONCATENATE("R1C",'Mapa final'!$P$10),"")</f>
        <v/>
      </c>
      <c r="AE6" s="4" t="str">
        <f>IF(AND('Mapa final'!$Z$11="Muy Alta",'Mapa final'!$AB$11="Mayor"),CONCATENATE("R1C",'Mapa final'!$P$11),"")</f>
        <v/>
      </c>
      <c r="AF6" s="4" t="str">
        <f>IF(AND('Mapa final'!$Z$12="Muy Alta",'Mapa final'!$AB$12="Mayor"),CONCATENATE("R1C",'Mapa final'!$P$12),"")</f>
        <v/>
      </c>
      <c r="AG6" s="5" t="str">
        <f>IF(AND('Mapa final'!$Z$13="Muy Alta",'Mapa final'!$AB$13="Mayor"),CONCATENATE("R1C",'Mapa final'!$P$13),"")</f>
        <v/>
      </c>
      <c r="AH6" s="6" t="str">
        <f>IF(AND('Mapa final'!$Z$8="Muy Alta",'Mapa final'!$AB$8="Catastrófico"),CONCATENATE("R1C",'Mapa final'!$P$8),"")</f>
        <v/>
      </c>
      <c r="AI6" s="7" t="str">
        <f>IF(AND('Mapa final'!$Z$9="Muy Alta",'Mapa final'!$AB$9="Catastrófico"),CONCATENATE("R1C",'Mapa final'!$P$9),"")</f>
        <v/>
      </c>
      <c r="AJ6" s="7" t="str">
        <f>IF(AND('Mapa final'!$Z$10="Muy Alta",'Mapa final'!$AB$10="Catastrófico"),CONCATENATE("R1C",'Mapa final'!$P$10),"")</f>
        <v/>
      </c>
      <c r="AK6" s="7" t="str">
        <f>IF(AND('Mapa final'!$Z$11="Muy Alta",'Mapa final'!$AB$11="Catastrófico"),CONCATENATE("R1C",'Mapa final'!$P$11),"")</f>
        <v/>
      </c>
      <c r="AL6" s="7" t="str">
        <f>IF(AND('Mapa final'!$Z$12="Muy Alta",'Mapa final'!$AB$12="Catastrófico"),CONCATENATE("R1C",'Mapa final'!$P$12),"")</f>
        <v/>
      </c>
      <c r="AM6" s="8" t="str">
        <f>IF(AND('Mapa final'!$Z$13="Muy Alta",'Mapa final'!$AB$13="Catastrófico"),CONCATENATE("R1C",'Mapa final'!$P$13),"")</f>
        <v/>
      </c>
      <c r="AN6" s="40"/>
      <c r="AO6" s="322" t="s">
        <v>44</v>
      </c>
      <c r="AP6" s="323"/>
      <c r="AQ6" s="323"/>
      <c r="AR6" s="323"/>
      <c r="AS6" s="323"/>
      <c r="AT6" s="324"/>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row>
    <row r="7" spans="1:91" ht="15" customHeight="1" x14ac:dyDescent="0.25">
      <c r="A7" s="40"/>
      <c r="B7" s="264"/>
      <c r="C7" s="264"/>
      <c r="D7" s="265"/>
      <c r="E7" s="305"/>
      <c r="F7" s="306"/>
      <c r="G7" s="306"/>
      <c r="H7" s="306"/>
      <c r="I7" s="307"/>
      <c r="J7" s="9" t="str">
        <f>IF(AND('Mapa final'!$Z$14="Muy Alta",'Mapa final'!$AB$14="Leve"),CONCATENATE("R2C",'Mapa final'!$P$14),"")</f>
        <v/>
      </c>
      <c r="K7" s="10" t="str">
        <f>IF(AND('Mapa final'!$Z$15="Muy Alta",'Mapa final'!$AB$15="Leve"),CONCATENATE("R2C",'Mapa final'!$P$15),"")</f>
        <v/>
      </c>
      <c r="L7" s="10" t="str">
        <f>IF(AND('Mapa final'!$Z$16="Muy Alta",'Mapa final'!$AB$16="Leve"),CONCATENATE("R2C",'Mapa final'!$P$16),"")</f>
        <v/>
      </c>
      <c r="M7" s="10" t="str">
        <f>IF(AND('Mapa final'!$Z$17="Muy Alta",'Mapa final'!$AB$17="Leve"),CONCATENATE("R2C",'Mapa final'!$P$17),"")</f>
        <v/>
      </c>
      <c r="N7" s="10" t="str">
        <f>IF(AND('Mapa final'!$Z$18="Muy Alta",'Mapa final'!$AB$18="Leve"),CONCATENATE("R2C",'Mapa final'!$P$18),"")</f>
        <v/>
      </c>
      <c r="O7" s="11" t="str">
        <f>IF(AND('Mapa final'!$Z$19="Muy Alta",'Mapa final'!$AB$19="Leve"),CONCATENATE("R2C",'Mapa final'!$P$19),"")</f>
        <v/>
      </c>
      <c r="P7" s="9" t="str">
        <f>IF(AND('Mapa final'!$Z$14="Muy Alta",'Mapa final'!$AB$14="Menor"),CONCATENATE("R2C",'Mapa final'!$P$14),"")</f>
        <v/>
      </c>
      <c r="Q7" s="10" t="str">
        <f>IF(AND('Mapa final'!$Z$15="Muy Alta",'Mapa final'!$AB$15="Menor"),CONCATENATE("R2C",'Mapa final'!$P$15),"")</f>
        <v/>
      </c>
      <c r="R7" s="10" t="str">
        <f>IF(AND('Mapa final'!$Z$16="Muy Alta",'Mapa final'!$AB$16="Menor"),CONCATENATE("R2C",'Mapa final'!$P$16),"")</f>
        <v/>
      </c>
      <c r="S7" s="10" t="str">
        <f>IF(AND('Mapa final'!$Z$17="Muy Alta",'Mapa final'!$AB$17="Menor"),CONCATENATE("R2C",'Mapa final'!$P$17),"")</f>
        <v/>
      </c>
      <c r="T7" s="10" t="str">
        <f>IF(AND('Mapa final'!$Z$18="Muy Alta",'Mapa final'!$AB$18="Menor"),CONCATENATE("R2C",'Mapa final'!$P$18),"")</f>
        <v/>
      </c>
      <c r="U7" s="11" t="str">
        <f>IF(AND('Mapa final'!$Z$19="Muy Alta",'Mapa final'!$AB$19="Menor"),CONCATENATE("R2C",'Mapa final'!$P$19),"")</f>
        <v/>
      </c>
      <c r="V7" s="9" t="str">
        <f>IF(AND('Mapa final'!$Z$14="Muy Alta",'Mapa final'!$AB$14="Moderado"),CONCATENATE("R2C",'Mapa final'!$P$14),"")</f>
        <v/>
      </c>
      <c r="W7" s="10" t="str">
        <f>IF(AND('Mapa final'!$Z$15="Muy Alta",'Mapa final'!$AB$15="Moderado"),CONCATENATE("R2C",'Mapa final'!$P$15),"")</f>
        <v/>
      </c>
      <c r="X7" s="10" t="str">
        <f>IF(AND('Mapa final'!$Z$16="Muy Alta",'Mapa final'!$AB$16="Moderado"),CONCATENATE("R2C",'Mapa final'!$P$16),"")</f>
        <v/>
      </c>
      <c r="Y7" s="10" t="str">
        <f>IF(AND('Mapa final'!$Z$17="Muy Alta",'Mapa final'!$AB$17="Moderado"),CONCATENATE("R2C",'Mapa final'!$P$17),"")</f>
        <v/>
      </c>
      <c r="Z7" s="10" t="str">
        <f>IF(AND('Mapa final'!$Z$18="Muy Alta",'Mapa final'!$AB$18="Moderado"),CONCATENATE("R2C",'Mapa final'!$P$18),"")</f>
        <v/>
      </c>
      <c r="AA7" s="11" t="str">
        <f>IF(AND('Mapa final'!$Z$19="Muy Alta",'Mapa final'!$AB$19="Moderado"),CONCATENATE("R2C",'Mapa final'!$P$19),"")</f>
        <v/>
      </c>
      <c r="AB7" s="9" t="str">
        <f>IF(AND('Mapa final'!$Z$14="Muy Alta",'Mapa final'!$AB$14="Mayor"),CONCATENATE("R2C",'Mapa final'!$P$14),"")</f>
        <v/>
      </c>
      <c r="AC7" s="10" t="str">
        <f>IF(AND('Mapa final'!$Z$15="Muy Alta",'Mapa final'!$AB$15="Mayor"),CONCATENATE("R2C",'Mapa final'!$P$15),"")</f>
        <v/>
      </c>
      <c r="AD7" s="10" t="str">
        <f>IF(AND('Mapa final'!$Z$16="Muy Alta",'Mapa final'!$AB$16="Mayor"),CONCATENATE("R2C",'Mapa final'!$P$16),"")</f>
        <v/>
      </c>
      <c r="AE7" s="10" t="str">
        <f>IF(AND('Mapa final'!$Z$17="Muy Alta",'Mapa final'!$AB$17="Mayor"),CONCATENATE("R2C",'Mapa final'!$P$17),"")</f>
        <v/>
      </c>
      <c r="AF7" s="10" t="str">
        <f>IF(AND('Mapa final'!$Z$18="Muy Alta",'Mapa final'!$AB$18="Mayor"),CONCATENATE("R2C",'Mapa final'!$P$18),"")</f>
        <v/>
      </c>
      <c r="AG7" s="11" t="str">
        <f>IF(AND('Mapa final'!$Z$19="Muy Alta",'Mapa final'!$AB$19="Mayor"),CONCATENATE("R2C",'Mapa final'!$P$19),"")</f>
        <v/>
      </c>
      <c r="AH7" s="12" t="str">
        <f>IF(AND('Mapa final'!$Z$14="Muy Alta",'Mapa final'!$AB$14="Catastrófico"),CONCATENATE("R2C",'Mapa final'!$P$14),"")</f>
        <v/>
      </c>
      <c r="AI7" s="13" t="str">
        <f>IF(AND('Mapa final'!$Z$15="Muy Alta",'Mapa final'!$AB$15="Catastrófico"),CONCATENATE("R2C",'Mapa final'!$P$15),"")</f>
        <v/>
      </c>
      <c r="AJ7" s="13" t="str">
        <f>IF(AND('Mapa final'!$Z$16="Muy Alta",'Mapa final'!$AB$16="Catastrófico"),CONCATENATE("R2C",'Mapa final'!$P$16),"")</f>
        <v/>
      </c>
      <c r="AK7" s="13" t="str">
        <f>IF(AND('Mapa final'!$Z$17="Muy Alta",'Mapa final'!$AB$17="Catastrófico"),CONCATENATE("R2C",'Mapa final'!$P$17),"")</f>
        <v/>
      </c>
      <c r="AL7" s="13" t="str">
        <f>IF(AND('Mapa final'!$Z$18="Muy Alta",'Mapa final'!$AB$18="Catastrófico"),CONCATENATE("R2C",'Mapa final'!$P$18),"")</f>
        <v/>
      </c>
      <c r="AM7" s="14" t="str">
        <f>IF(AND('Mapa final'!$Z$19="Muy Alta",'Mapa final'!$AB$19="Catastrófico"),CONCATENATE("R2C",'Mapa final'!$P$19),"")</f>
        <v/>
      </c>
      <c r="AN7" s="40"/>
      <c r="AO7" s="325"/>
      <c r="AP7" s="326"/>
      <c r="AQ7" s="326"/>
      <c r="AR7" s="326"/>
      <c r="AS7" s="326"/>
      <c r="AT7" s="327"/>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row>
    <row r="8" spans="1:91" ht="15" customHeight="1" x14ac:dyDescent="0.25">
      <c r="A8" s="40"/>
      <c r="B8" s="264"/>
      <c r="C8" s="264"/>
      <c r="D8" s="265"/>
      <c r="E8" s="305"/>
      <c r="F8" s="306"/>
      <c r="G8" s="306"/>
      <c r="H8" s="306"/>
      <c r="I8" s="307"/>
      <c r="J8" s="9" t="str">
        <f>IF(AND('Mapa final'!$Z$20="Muy Alta",'Mapa final'!$AB$20="Leve"),CONCATENATE("R3C",'Mapa final'!$P$20),"")</f>
        <v/>
      </c>
      <c r="K8" s="10" t="str">
        <f>IF(AND('Mapa final'!$Z$21="Muy Alta",'Mapa final'!$AB$21="Leve"),CONCATENATE("R3C",'Mapa final'!$P$21),"")</f>
        <v/>
      </c>
      <c r="L8" s="10" t="str">
        <f>IF(AND('Mapa final'!$Z$22="Muy Alta",'Mapa final'!$AB$22="Leve"),CONCATENATE("R3C",'Mapa final'!$P$22),"")</f>
        <v/>
      </c>
      <c r="M8" s="10" t="str">
        <f>IF(AND('Mapa final'!$Z$23="Muy Alta",'Mapa final'!$AB$23="Leve"),CONCATENATE("R3C",'Mapa final'!$P$23),"")</f>
        <v/>
      </c>
      <c r="N8" s="10" t="str">
        <f>IF(AND('Mapa final'!$Z$24="Muy Alta",'Mapa final'!$AB$24="Leve"),CONCATENATE("R3C",'Mapa final'!$P$24),"")</f>
        <v/>
      </c>
      <c r="O8" s="11" t="str">
        <f>IF(AND('Mapa final'!$Z$25="Muy Alta",'Mapa final'!$AB$25="Leve"),CONCATENATE("R3C",'Mapa final'!$P$25),"")</f>
        <v/>
      </c>
      <c r="P8" s="9" t="str">
        <f>IF(AND('Mapa final'!$Z$20="Muy Alta",'Mapa final'!$AB$20="Menor"),CONCATENATE("R3C",'Mapa final'!$P$20),"")</f>
        <v/>
      </c>
      <c r="Q8" s="10" t="str">
        <f>IF(AND('Mapa final'!$Z$21="Muy Alta",'Mapa final'!$AB$21="Menor"),CONCATENATE("R3C",'Mapa final'!$P$21),"")</f>
        <v/>
      </c>
      <c r="R8" s="10" t="str">
        <f>IF(AND('Mapa final'!$Z$22="Muy Alta",'Mapa final'!$AB$22="Menor"),CONCATENATE("R3C",'Mapa final'!$P$22),"")</f>
        <v/>
      </c>
      <c r="S8" s="10" t="str">
        <f>IF(AND('Mapa final'!$Z$23="Muy Alta",'Mapa final'!$AB$23="Menor"),CONCATENATE("R3C",'Mapa final'!$P$23),"")</f>
        <v/>
      </c>
      <c r="T8" s="10" t="str">
        <f>IF(AND('Mapa final'!$Z$24="Muy Alta",'Mapa final'!$AB$24="Menor"),CONCATENATE("R3C",'Mapa final'!$P$24),"")</f>
        <v/>
      </c>
      <c r="U8" s="11" t="str">
        <f>IF(AND('Mapa final'!$Z$25="Muy Alta",'Mapa final'!$AB$25="Menor"),CONCATENATE("R3C",'Mapa final'!$P$25),"")</f>
        <v/>
      </c>
      <c r="V8" s="9" t="str">
        <f>IF(AND('Mapa final'!$Z$20="Muy Alta",'Mapa final'!$AB$20="Moderado"),CONCATENATE("R3C",'Mapa final'!$P$20),"")</f>
        <v/>
      </c>
      <c r="W8" s="10" t="str">
        <f>IF(AND('Mapa final'!$Z$21="Muy Alta",'Mapa final'!$AB$21="Moderado"),CONCATENATE("R3C",'Mapa final'!$P$21),"")</f>
        <v/>
      </c>
      <c r="X8" s="10" t="str">
        <f>IF(AND('Mapa final'!$Z$22="Muy Alta",'Mapa final'!$AB$22="Moderado"),CONCATENATE("R3C",'Mapa final'!$P$22),"")</f>
        <v/>
      </c>
      <c r="Y8" s="10" t="str">
        <f>IF(AND('Mapa final'!$Z$23="Muy Alta",'Mapa final'!$AB$23="Moderado"),CONCATENATE("R3C",'Mapa final'!$P$23),"")</f>
        <v/>
      </c>
      <c r="Z8" s="10" t="str">
        <f>IF(AND('Mapa final'!$Z$24="Muy Alta",'Mapa final'!$AB$24="Moderado"),CONCATENATE("R3C",'Mapa final'!$P$24),"")</f>
        <v/>
      </c>
      <c r="AA8" s="11" t="str">
        <f>IF(AND('Mapa final'!$Z$25="Muy Alta",'Mapa final'!$AB$25="Moderado"),CONCATENATE("R3C",'Mapa final'!$P$25),"")</f>
        <v/>
      </c>
      <c r="AB8" s="9" t="str">
        <f>IF(AND('Mapa final'!$Z$20="Muy Alta",'Mapa final'!$AB$20="Mayor"),CONCATENATE("R3C",'Mapa final'!$P$20),"")</f>
        <v/>
      </c>
      <c r="AC8" s="10" t="str">
        <f>IF(AND('Mapa final'!$Z$21="Muy Alta",'Mapa final'!$AB$21="Mayor"),CONCATENATE("R3C",'Mapa final'!$P$21),"")</f>
        <v/>
      </c>
      <c r="AD8" s="10" t="str">
        <f>IF(AND('Mapa final'!$Z$22="Muy Alta",'Mapa final'!$AB$22="Mayor"),CONCATENATE("R3C",'Mapa final'!$P$22),"")</f>
        <v/>
      </c>
      <c r="AE8" s="10" t="str">
        <f>IF(AND('Mapa final'!$Z$23="Muy Alta",'Mapa final'!$AB$23="Mayor"),CONCATENATE("R3C",'Mapa final'!$P$23),"")</f>
        <v/>
      </c>
      <c r="AF8" s="10" t="str">
        <f>IF(AND('Mapa final'!$Z$24="Muy Alta",'Mapa final'!$AB$24="Mayor"),CONCATENATE("R3C",'Mapa final'!$P$24),"")</f>
        <v/>
      </c>
      <c r="AG8" s="11" t="str">
        <f>IF(AND('Mapa final'!$Z$25="Muy Alta",'Mapa final'!$AB$25="Mayor"),CONCATENATE("R3C",'Mapa final'!$P$25),"")</f>
        <v/>
      </c>
      <c r="AH8" s="12" t="str">
        <f>IF(AND('Mapa final'!$Z$20="Muy Alta",'Mapa final'!$AB$20="Catastrófico"),CONCATENATE("R3C",'Mapa final'!$P$20),"")</f>
        <v/>
      </c>
      <c r="AI8" s="13" t="str">
        <f>IF(AND('Mapa final'!$Z$21="Muy Alta",'Mapa final'!$AB$21="Catastrófico"),CONCATENATE("R3C",'Mapa final'!$P$21),"")</f>
        <v/>
      </c>
      <c r="AJ8" s="13" t="str">
        <f>IF(AND('Mapa final'!$Z$22="Muy Alta",'Mapa final'!$AB$22="Catastrófico"),CONCATENATE("R3C",'Mapa final'!$P$22),"")</f>
        <v/>
      </c>
      <c r="AK8" s="13" t="str">
        <f>IF(AND('Mapa final'!$Z$23="Muy Alta",'Mapa final'!$AB$23="Catastrófico"),CONCATENATE("R3C",'Mapa final'!$P$23),"")</f>
        <v/>
      </c>
      <c r="AL8" s="13" t="str">
        <f>IF(AND('Mapa final'!$Z$24="Muy Alta",'Mapa final'!$AB$24="Catastrófico"),CONCATENATE("R3C",'Mapa final'!$P$24),"")</f>
        <v/>
      </c>
      <c r="AM8" s="14" t="str">
        <f>IF(AND('Mapa final'!$Z$25="Muy Alta",'Mapa final'!$AB$25="Catastrófico"),CONCATENATE("R3C",'Mapa final'!$P$25),"")</f>
        <v/>
      </c>
      <c r="AN8" s="40"/>
      <c r="AO8" s="325"/>
      <c r="AP8" s="326"/>
      <c r="AQ8" s="326"/>
      <c r="AR8" s="326"/>
      <c r="AS8" s="326"/>
      <c r="AT8" s="327"/>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row>
    <row r="9" spans="1:91" ht="15" customHeight="1" x14ac:dyDescent="0.25">
      <c r="A9" s="40"/>
      <c r="B9" s="264"/>
      <c r="C9" s="264"/>
      <c r="D9" s="265"/>
      <c r="E9" s="305"/>
      <c r="F9" s="306"/>
      <c r="G9" s="306"/>
      <c r="H9" s="306"/>
      <c r="I9" s="307"/>
      <c r="J9" s="9" t="str">
        <f>IF(AND('Mapa final'!$Z$26="Muy Alta",'Mapa final'!$AB$26="Leve"),CONCATENATE("R4C",'Mapa final'!$P$26),"")</f>
        <v/>
      </c>
      <c r="K9" s="10" t="str">
        <f>IF(AND('Mapa final'!$Z$27="Muy Alta",'Mapa final'!$AB$27="Leve"),CONCATENATE("R4C",'Mapa final'!$P$27),"")</f>
        <v/>
      </c>
      <c r="L9" s="10" t="str">
        <f>IF(AND('Mapa final'!$Z$28="Muy Alta",'Mapa final'!$AB$28="Leve"),CONCATENATE("R4C",'Mapa final'!$P$28),"")</f>
        <v/>
      </c>
      <c r="M9" s="10" t="str">
        <f>IF(AND('Mapa final'!$Z$29="Muy Alta",'Mapa final'!$AB$29="Leve"),CONCATENATE("R4C",'Mapa final'!$P$29),"")</f>
        <v/>
      </c>
      <c r="N9" s="10" t="str">
        <f>IF(AND('Mapa final'!$Z$30="Muy Alta",'Mapa final'!$AB$30="Leve"),CONCATENATE("R4C",'Mapa final'!$P$30),"")</f>
        <v/>
      </c>
      <c r="O9" s="11" t="str">
        <f>IF(AND('Mapa final'!$Z$31="Muy Alta",'Mapa final'!$AB$31="Leve"),CONCATENATE("R4C",'Mapa final'!$P$31),"")</f>
        <v/>
      </c>
      <c r="P9" s="9" t="str">
        <f>IF(AND('Mapa final'!$Z$26="Muy Alta",'Mapa final'!$AB$26="Menor"),CONCATENATE("R4C",'Mapa final'!$P$26),"")</f>
        <v/>
      </c>
      <c r="Q9" s="10" t="str">
        <f>IF(AND('Mapa final'!$Z$27="Muy Alta",'Mapa final'!$AB$27="Menor"),CONCATENATE("R4C",'Mapa final'!$P$27),"")</f>
        <v/>
      </c>
      <c r="R9" s="10" t="str">
        <f>IF(AND('Mapa final'!$Z$28="Muy Alta",'Mapa final'!$AB$28="Menor"),CONCATENATE("R4C",'Mapa final'!$P$28),"")</f>
        <v/>
      </c>
      <c r="S9" s="10" t="str">
        <f>IF(AND('Mapa final'!$Z$29="Muy Alta",'Mapa final'!$AB$29="Menor"),CONCATENATE("R4C",'Mapa final'!$P$29),"")</f>
        <v/>
      </c>
      <c r="T9" s="10" t="str">
        <f>IF(AND('Mapa final'!$Z$30="Muy Alta",'Mapa final'!$AB$30="Menor"),CONCATENATE("R4C",'Mapa final'!$P$30),"")</f>
        <v/>
      </c>
      <c r="U9" s="11" t="str">
        <f>IF(AND('Mapa final'!$Z$31="Muy Alta",'Mapa final'!$AB$31="Menor"),CONCATENATE("R4C",'Mapa final'!$P$31),"")</f>
        <v/>
      </c>
      <c r="V9" s="9" t="str">
        <f>IF(AND('Mapa final'!$Z$26="Muy Alta",'Mapa final'!$AB$26="Moderado"),CONCATENATE("R4C",'Mapa final'!$P$26),"")</f>
        <v/>
      </c>
      <c r="W9" s="10" t="str">
        <f>IF(AND('Mapa final'!$Z$27="Muy Alta",'Mapa final'!$AB$27="Moderado"),CONCATENATE("R4C",'Mapa final'!$P$27),"")</f>
        <v/>
      </c>
      <c r="X9" s="10" t="str">
        <f>IF(AND('Mapa final'!$Z$28="Muy Alta",'Mapa final'!$AB$28="Moderado"),CONCATENATE("R4C",'Mapa final'!$P$28),"")</f>
        <v/>
      </c>
      <c r="Y9" s="10" t="str">
        <f>IF(AND('Mapa final'!$Z$29="Muy Alta",'Mapa final'!$AB$29="Moderado"),CONCATENATE("R4C",'Mapa final'!$P$29),"")</f>
        <v/>
      </c>
      <c r="Z9" s="10" t="str">
        <f>IF(AND('Mapa final'!$Z$30="Muy Alta",'Mapa final'!$AB$30="Moderado"),CONCATENATE("R4C",'Mapa final'!$P$30),"")</f>
        <v/>
      </c>
      <c r="AA9" s="11" t="str">
        <f>IF(AND('Mapa final'!$Z$31="Muy Alta",'Mapa final'!$AB$31="Moderado"),CONCATENATE("R4C",'Mapa final'!$P$31),"")</f>
        <v/>
      </c>
      <c r="AB9" s="9" t="str">
        <f>IF(AND('Mapa final'!$Z$26="Muy Alta",'Mapa final'!$AB$26="Mayor"),CONCATENATE("R4C",'Mapa final'!$P$26),"")</f>
        <v/>
      </c>
      <c r="AC9" s="10" t="str">
        <f>IF(AND('Mapa final'!$Z$27="Muy Alta",'Mapa final'!$AB$27="Mayor"),CONCATENATE("R4C",'Mapa final'!$P$27),"")</f>
        <v/>
      </c>
      <c r="AD9" s="10" t="str">
        <f>IF(AND('Mapa final'!$Z$28="Muy Alta",'Mapa final'!$AB$28="Mayor"),CONCATENATE("R4C",'Mapa final'!$P$28),"")</f>
        <v/>
      </c>
      <c r="AE9" s="10" t="str">
        <f>IF(AND('Mapa final'!$Z$29="Muy Alta",'Mapa final'!$AB$29="Mayor"),CONCATENATE("R4C",'Mapa final'!$P$29),"")</f>
        <v/>
      </c>
      <c r="AF9" s="10" t="str">
        <f>IF(AND('Mapa final'!$Z$30="Muy Alta",'Mapa final'!$AB$30="Mayor"),CONCATENATE("R4C",'Mapa final'!$P$30),"")</f>
        <v/>
      </c>
      <c r="AG9" s="11" t="str">
        <f>IF(AND('Mapa final'!$Z$31="Muy Alta",'Mapa final'!$AB$31="Mayor"),CONCATENATE("R4C",'Mapa final'!$P$31),"")</f>
        <v/>
      </c>
      <c r="AH9" s="12" t="str">
        <f>IF(AND('Mapa final'!$Z$26="Muy Alta",'Mapa final'!$AB$26="Catastrófico"),CONCATENATE("R4C",'Mapa final'!$P$26),"")</f>
        <v/>
      </c>
      <c r="AI9" s="13" t="str">
        <f>IF(AND('Mapa final'!$Z$27="Muy Alta",'Mapa final'!$AB$27="Catastrófico"),CONCATENATE("R4C",'Mapa final'!$P$27),"")</f>
        <v/>
      </c>
      <c r="AJ9" s="13" t="str">
        <f>IF(AND('Mapa final'!$Z$28="Muy Alta",'Mapa final'!$AB$28="Catastrófico"),CONCATENATE("R4C",'Mapa final'!$P$28),"")</f>
        <v/>
      </c>
      <c r="AK9" s="13" t="str">
        <f>IF(AND('Mapa final'!$Z$29="Muy Alta",'Mapa final'!$AB$29="Catastrófico"),CONCATENATE("R4C",'Mapa final'!$P$29),"")</f>
        <v/>
      </c>
      <c r="AL9" s="13" t="str">
        <f>IF(AND('Mapa final'!$Z$30="Muy Alta",'Mapa final'!$AB$30="Catastrófico"),CONCATENATE("R4C",'Mapa final'!$P$30),"")</f>
        <v/>
      </c>
      <c r="AM9" s="14" t="str">
        <f>IF(AND('Mapa final'!$Z$31="Muy Alta",'Mapa final'!$AB$31="Catastrófico"),CONCATENATE("R4C",'Mapa final'!$P$31),"")</f>
        <v/>
      </c>
      <c r="AN9" s="40"/>
      <c r="AO9" s="325"/>
      <c r="AP9" s="326"/>
      <c r="AQ9" s="326"/>
      <c r="AR9" s="326"/>
      <c r="AS9" s="326"/>
      <c r="AT9" s="327"/>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row>
    <row r="10" spans="1:91" ht="15" customHeight="1" x14ac:dyDescent="0.25">
      <c r="A10" s="40"/>
      <c r="B10" s="264"/>
      <c r="C10" s="264"/>
      <c r="D10" s="265"/>
      <c r="E10" s="305"/>
      <c r="F10" s="306"/>
      <c r="G10" s="306"/>
      <c r="H10" s="306"/>
      <c r="I10" s="307"/>
      <c r="J10" s="9" t="str">
        <f>IF(AND('Mapa final'!$Z$32="Muy Alta",'Mapa final'!$AB$32="Leve"),CONCATENATE("R5C",'Mapa final'!$P$32),"")</f>
        <v/>
      </c>
      <c r="K10" s="10" t="str">
        <f>IF(AND('Mapa final'!$Z$33="Muy Alta",'Mapa final'!$AB$33="Leve"),CONCATENATE("R5C",'Mapa final'!$P$33),"")</f>
        <v/>
      </c>
      <c r="L10" s="10" t="str">
        <f>IF(AND('Mapa final'!$Z$34="Muy Alta",'Mapa final'!$AB$34="Leve"),CONCATENATE("R5C",'Mapa final'!$P$34),"")</f>
        <v/>
      </c>
      <c r="M10" s="10" t="str">
        <f>IF(AND('Mapa final'!$Z$35="Muy Alta",'Mapa final'!$AB$35="Leve"),CONCATENATE("R5C",'Mapa final'!$P$35),"")</f>
        <v/>
      </c>
      <c r="N10" s="10" t="str">
        <f>IF(AND('Mapa final'!$Z$36="Muy Alta",'Mapa final'!$AB$36="Leve"),CONCATENATE("R5C",'Mapa final'!$P$36),"")</f>
        <v/>
      </c>
      <c r="O10" s="11" t="str">
        <f>IF(AND('Mapa final'!$Z$37="Muy Alta",'Mapa final'!$AB$37="Leve"),CONCATENATE("R5C",'Mapa final'!$P$37),"")</f>
        <v/>
      </c>
      <c r="P10" s="9" t="str">
        <f>IF(AND('Mapa final'!$Z$32="Muy Alta",'Mapa final'!$AB$32="Menor"),CONCATENATE("R5C",'Mapa final'!$P$32),"")</f>
        <v/>
      </c>
      <c r="Q10" s="10" t="str">
        <f>IF(AND('Mapa final'!$Z$33="Muy Alta",'Mapa final'!$AB$33="Menor"),CONCATENATE("R5C",'Mapa final'!$P$33),"")</f>
        <v/>
      </c>
      <c r="R10" s="10" t="str">
        <f>IF(AND('Mapa final'!$Z$34="Muy Alta",'Mapa final'!$AB$34="Menor"),CONCATENATE("R5C",'Mapa final'!$P$34),"")</f>
        <v/>
      </c>
      <c r="S10" s="10" t="str">
        <f>IF(AND('Mapa final'!$Z$35="Muy Alta",'Mapa final'!$AB$35="Menor"),CONCATENATE("R5C",'Mapa final'!$P$35),"")</f>
        <v/>
      </c>
      <c r="T10" s="10" t="str">
        <f>IF(AND('Mapa final'!$Z$36="Muy Alta",'Mapa final'!$AB$36="Menor"),CONCATENATE("R5C",'Mapa final'!$P$36),"")</f>
        <v/>
      </c>
      <c r="U10" s="11" t="str">
        <f>IF(AND('Mapa final'!$Z$37="Muy Alta",'Mapa final'!$AB$37="Menor"),CONCATENATE("R5C",'Mapa final'!$P$37),"")</f>
        <v/>
      </c>
      <c r="V10" s="9" t="str">
        <f>IF(AND('Mapa final'!$Z$32="Muy Alta",'Mapa final'!$AB$32="Moderado"),CONCATENATE("R5C",'Mapa final'!$P$32),"")</f>
        <v/>
      </c>
      <c r="W10" s="10" t="str">
        <f>IF(AND('Mapa final'!$Z$33="Muy Alta",'Mapa final'!$AB$33="Moderado"),CONCATENATE("R5C",'Mapa final'!$P$33),"")</f>
        <v/>
      </c>
      <c r="X10" s="10" t="str">
        <f>IF(AND('Mapa final'!$Z$34="Muy Alta",'Mapa final'!$AB$34="Moderado"),CONCATENATE("R5C",'Mapa final'!$P$34),"")</f>
        <v/>
      </c>
      <c r="Y10" s="10" t="str">
        <f>IF(AND('Mapa final'!$Z$35="Muy Alta",'Mapa final'!$AB$35="Moderado"),CONCATENATE("R5C",'Mapa final'!$P$35),"")</f>
        <v/>
      </c>
      <c r="Z10" s="10" t="str">
        <f>IF(AND('Mapa final'!$Z$36="Muy Alta",'Mapa final'!$AB$36="Moderado"),CONCATENATE("R5C",'Mapa final'!$P$36),"")</f>
        <v/>
      </c>
      <c r="AA10" s="11" t="str">
        <f>IF(AND('Mapa final'!$Z$37="Muy Alta",'Mapa final'!$AB$37="Moderado"),CONCATENATE("R5C",'Mapa final'!$P$37),"")</f>
        <v/>
      </c>
      <c r="AB10" s="9" t="str">
        <f>IF(AND('Mapa final'!$Z$32="Muy Alta",'Mapa final'!$AB$32="Mayor"),CONCATENATE("R5C",'Mapa final'!$P$32),"")</f>
        <v/>
      </c>
      <c r="AC10" s="10" t="str">
        <f>IF(AND('Mapa final'!$Z$33="Muy Alta",'Mapa final'!$AB$33="Mayor"),CONCATENATE("R5C",'Mapa final'!$P$33),"")</f>
        <v/>
      </c>
      <c r="AD10" s="10" t="str">
        <f>IF(AND('Mapa final'!$Z$34="Muy Alta",'Mapa final'!$AB$34="Mayor"),CONCATENATE("R5C",'Mapa final'!$P$34),"")</f>
        <v/>
      </c>
      <c r="AE10" s="10" t="str">
        <f>IF(AND('Mapa final'!$Z$35="Muy Alta",'Mapa final'!$AB$35="Mayor"),CONCATENATE("R5C",'Mapa final'!$P$35),"")</f>
        <v/>
      </c>
      <c r="AF10" s="10" t="str">
        <f>IF(AND('Mapa final'!$Z$36="Muy Alta",'Mapa final'!$AB$36="Mayor"),CONCATENATE("R5C",'Mapa final'!$P$36),"")</f>
        <v/>
      </c>
      <c r="AG10" s="11" t="str">
        <f>IF(AND('Mapa final'!$Z$37="Muy Alta",'Mapa final'!$AB$37="Mayor"),CONCATENATE("R5C",'Mapa final'!$P$37),"")</f>
        <v/>
      </c>
      <c r="AH10" s="12" t="str">
        <f>IF(AND('Mapa final'!$Z$32="Muy Alta",'Mapa final'!$AB$32="Catastrófico"),CONCATENATE("R5C",'Mapa final'!$P$32),"")</f>
        <v/>
      </c>
      <c r="AI10" s="13" t="str">
        <f>IF(AND('Mapa final'!$Z$33="Muy Alta",'Mapa final'!$AB$33="Catastrófico"),CONCATENATE("R5C",'Mapa final'!$P$33),"")</f>
        <v/>
      </c>
      <c r="AJ10" s="13" t="str">
        <f>IF(AND('Mapa final'!$Z$34="Muy Alta",'Mapa final'!$AB$34="Catastrófico"),CONCATENATE("R5C",'Mapa final'!$P$34),"")</f>
        <v/>
      </c>
      <c r="AK10" s="13" t="str">
        <f>IF(AND('Mapa final'!$Z$35="Muy Alta",'Mapa final'!$AB$35="Catastrófico"),CONCATENATE("R5C",'Mapa final'!$P$35),"")</f>
        <v/>
      </c>
      <c r="AL10" s="13" t="str">
        <f>IF(AND('Mapa final'!$Z$36="Muy Alta",'Mapa final'!$AB$36="Catastrófico"),CONCATENATE("R5C",'Mapa final'!$P$36),"")</f>
        <v/>
      </c>
      <c r="AM10" s="14" t="str">
        <f>IF(AND('Mapa final'!$Z$37="Muy Alta",'Mapa final'!$AB$37="Catastrófico"),CONCATENATE("R5C",'Mapa final'!$P$37),"")</f>
        <v/>
      </c>
      <c r="AN10" s="40"/>
      <c r="AO10" s="325"/>
      <c r="AP10" s="326"/>
      <c r="AQ10" s="326"/>
      <c r="AR10" s="326"/>
      <c r="AS10" s="326"/>
      <c r="AT10" s="327"/>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row>
    <row r="11" spans="1:91" ht="15" customHeight="1" x14ac:dyDescent="0.25">
      <c r="A11" s="40"/>
      <c r="B11" s="264"/>
      <c r="C11" s="264"/>
      <c r="D11" s="265"/>
      <c r="E11" s="305"/>
      <c r="F11" s="306"/>
      <c r="G11" s="306"/>
      <c r="H11" s="306"/>
      <c r="I11" s="307"/>
      <c r="J11" s="9" t="str">
        <f>IF(AND('Mapa final'!$Z$38="Muy Alta",'Mapa final'!$AB$38="Leve"),CONCATENATE("R6C",'Mapa final'!$P$38),"")</f>
        <v/>
      </c>
      <c r="K11" s="10" t="str">
        <f>IF(AND('Mapa final'!$Z$39="Muy Alta",'Mapa final'!$AB$39="Leve"),CONCATENATE("R6C",'Mapa final'!$P$39),"")</f>
        <v/>
      </c>
      <c r="L11" s="10" t="str">
        <f>IF(AND('Mapa final'!$Z$40="Muy Alta",'Mapa final'!$AB$40="Leve"),CONCATENATE("R6C",'Mapa final'!$P$40),"")</f>
        <v/>
      </c>
      <c r="M11" s="10" t="str">
        <f>IF(AND('Mapa final'!$Z$41="Muy Alta",'Mapa final'!$AB$41="Leve"),CONCATENATE("R6C",'Mapa final'!$P$41),"")</f>
        <v/>
      </c>
      <c r="N11" s="10" t="str">
        <f>IF(AND('Mapa final'!$Z$42="Muy Alta",'Mapa final'!$AB$42="Leve"),CONCATENATE("R6C",'Mapa final'!$P$42),"")</f>
        <v/>
      </c>
      <c r="O11" s="11" t="str">
        <f>IF(AND('Mapa final'!$Z$43="Muy Alta",'Mapa final'!$AB$43="Leve"),CONCATENATE("R6C",'Mapa final'!$P$43),"")</f>
        <v/>
      </c>
      <c r="P11" s="9" t="str">
        <f>IF(AND('Mapa final'!$Z$38="Muy Alta",'Mapa final'!$AB$38="Menor"),CONCATENATE("R6C",'Mapa final'!$P$38),"")</f>
        <v/>
      </c>
      <c r="Q11" s="10" t="str">
        <f>IF(AND('Mapa final'!$Z$39="Muy Alta",'Mapa final'!$AB$39="Menor"),CONCATENATE("R6C",'Mapa final'!$P$39),"")</f>
        <v/>
      </c>
      <c r="R11" s="10" t="str">
        <f>IF(AND('Mapa final'!$Z$40="Muy Alta",'Mapa final'!$AB$40="Menor"),CONCATENATE("R6C",'Mapa final'!$P$40),"")</f>
        <v/>
      </c>
      <c r="S11" s="10" t="str">
        <f>IF(AND('Mapa final'!$Z$41="Muy Alta",'Mapa final'!$AB$41="Menor"),CONCATENATE("R6C",'Mapa final'!$P$41),"")</f>
        <v/>
      </c>
      <c r="T11" s="10" t="str">
        <f>IF(AND('Mapa final'!$Z$42="Muy Alta",'Mapa final'!$AB$42="Menor"),CONCATENATE("R6C",'Mapa final'!$P$42),"")</f>
        <v/>
      </c>
      <c r="U11" s="11" t="str">
        <f>IF(AND('Mapa final'!$Z$43="Muy Alta",'Mapa final'!$AB$43="Menor"),CONCATENATE("R6C",'Mapa final'!$P$43),"")</f>
        <v/>
      </c>
      <c r="V11" s="9" t="str">
        <f>IF(AND('Mapa final'!$Z$38="Muy Alta",'Mapa final'!$AB$38="Moderado"),CONCATENATE("R6C",'Mapa final'!$P$38),"")</f>
        <v/>
      </c>
      <c r="W11" s="10" t="str">
        <f>IF(AND('Mapa final'!$Z$39="Muy Alta",'Mapa final'!$AB$39="Moderado"),CONCATENATE("R6C",'Mapa final'!$P$39),"")</f>
        <v/>
      </c>
      <c r="X11" s="10" t="str">
        <f>IF(AND('Mapa final'!$Z$40="Muy Alta",'Mapa final'!$AB$40="Moderado"),CONCATENATE("R6C",'Mapa final'!$P$40),"")</f>
        <v/>
      </c>
      <c r="Y11" s="10" t="str">
        <f>IF(AND('Mapa final'!$Z$41="Muy Alta",'Mapa final'!$AB$41="Moderado"),CONCATENATE("R6C",'Mapa final'!$P$41),"")</f>
        <v/>
      </c>
      <c r="Z11" s="10" t="str">
        <f>IF(AND('Mapa final'!$Z$42="Muy Alta",'Mapa final'!$AB$42="Moderado"),CONCATENATE("R6C",'Mapa final'!$P$42),"")</f>
        <v/>
      </c>
      <c r="AA11" s="11" t="str">
        <f>IF(AND('Mapa final'!$Z$43="Muy Alta",'Mapa final'!$AB$43="Moderado"),CONCATENATE("R6C",'Mapa final'!$P$43),"")</f>
        <v/>
      </c>
      <c r="AB11" s="9" t="str">
        <f>IF(AND('Mapa final'!$Z$38="Muy Alta",'Mapa final'!$AB$38="Mayor"),CONCATENATE("R6C",'Mapa final'!$P$38),"")</f>
        <v/>
      </c>
      <c r="AC11" s="10" t="str">
        <f>IF(AND('Mapa final'!$Z$39="Muy Alta",'Mapa final'!$AB$39="Mayor"),CONCATENATE("R6C",'Mapa final'!$P$39),"")</f>
        <v/>
      </c>
      <c r="AD11" s="10" t="str">
        <f>IF(AND('Mapa final'!$Z$40="Muy Alta",'Mapa final'!$AB$40="Mayor"),CONCATENATE("R6C",'Mapa final'!$P$40),"")</f>
        <v/>
      </c>
      <c r="AE11" s="10" t="str">
        <f>IF(AND('Mapa final'!$Z$41="Muy Alta",'Mapa final'!$AB$41="Mayor"),CONCATENATE("R6C",'Mapa final'!$P$41),"")</f>
        <v/>
      </c>
      <c r="AF11" s="10" t="str">
        <f>IF(AND('Mapa final'!$Z$42="Muy Alta",'Mapa final'!$AB$42="Mayor"),CONCATENATE("R6C",'Mapa final'!$P$42),"")</f>
        <v/>
      </c>
      <c r="AG11" s="11" t="str">
        <f>IF(AND('Mapa final'!$Z$43="Muy Alta",'Mapa final'!$AB$43="Mayor"),CONCATENATE("R6C",'Mapa final'!$P$43),"")</f>
        <v/>
      </c>
      <c r="AH11" s="12" t="str">
        <f>IF(AND('Mapa final'!$Z$38="Muy Alta",'Mapa final'!$AB$38="Catastrófico"),CONCATENATE("R6C",'Mapa final'!$P$38),"")</f>
        <v/>
      </c>
      <c r="AI11" s="13" t="str">
        <f>IF(AND('Mapa final'!$Z$39="Muy Alta",'Mapa final'!$AB$39="Catastrófico"),CONCATENATE("R6C",'Mapa final'!$P$39),"")</f>
        <v/>
      </c>
      <c r="AJ11" s="13" t="str">
        <f>IF(AND('Mapa final'!$Z$40="Muy Alta",'Mapa final'!$AB$40="Catastrófico"),CONCATENATE("R6C",'Mapa final'!$P$40),"")</f>
        <v/>
      </c>
      <c r="AK11" s="13" t="str">
        <f>IF(AND('Mapa final'!$Z$41="Muy Alta",'Mapa final'!$AB$41="Catastrófico"),CONCATENATE("R6C",'Mapa final'!$P$41),"")</f>
        <v/>
      </c>
      <c r="AL11" s="13" t="str">
        <f>IF(AND('Mapa final'!$Z$42="Muy Alta",'Mapa final'!$AB$42="Catastrófico"),CONCATENATE("R6C",'Mapa final'!$P$42),"")</f>
        <v/>
      </c>
      <c r="AM11" s="14" t="str">
        <f>IF(AND('Mapa final'!$Z$43="Muy Alta",'Mapa final'!$AB$43="Catastrófico"),CONCATENATE("R6C",'Mapa final'!$P$43),"")</f>
        <v/>
      </c>
      <c r="AN11" s="40"/>
      <c r="AO11" s="325"/>
      <c r="AP11" s="326"/>
      <c r="AQ11" s="326"/>
      <c r="AR11" s="326"/>
      <c r="AS11" s="326"/>
      <c r="AT11" s="327"/>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row>
    <row r="12" spans="1:91" ht="15" customHeight="1" x14ac:dyDescent="0.25">
      <c r="A12" s="40"/>
      <c r="B12" s="264"/>
      <c r="C12" s="264"/>
      <c r="D12" s="265"/>
      <c r="E12" s="305"/>
      <c r="F12" s="306"/>
      <c r="G12" s="306"/>
      <c r="H12" s="306"/>
      <c r="I12" s="307"/>
      <c r="J12" s="9" t="str">
        <f>IF(AND('Mapa final'!$Z$44="Muy Alta",'Mapa final'!$AB$44="Leve"),CONCATENATE("R7C",'Mapa final'!$P$44),"")</f>
        <v/>
      </c>
      <c r="K12" s="10" t="str">
        <f>IF(AND('Mapa final'!$Z$45="Muy Alta",'Mapa final'!$AB$45="Leve"),CONCATENATE("R7C",'Mapa final'!$P$45),"")</f>
        <v/>
      </c>
      <c r="L12" s="10" t="str">
        <f>IF(AND('Mapa final'!$Z$46="Muy Alta",'Mapa final'!$AB$46="Leve"),CONCATENATE("R7C",'Mapa final'!$P$46),"")</f>
        <v/>
      </c>
      <c r="M12" s="10" t="str">
        <f>IF(AND('Mapa final'!$Z$47="Muy Alta",'Mapa final'!$AB$47="Leve"),CONCATENATE("R7C",'Mapa final'!$P$47),"")</f>
        <v/>
      </c>
      <c r="N12" s="10" t="str">
        <f>IF(AND('Mapa final'!$Z$48="Muy Alta",'Mapa final'!$AB$48="Leve"),CONCATENATE("R7C",'Mapa final'!$P$48),"")</f>
        <v/>
      </c>
      <c r="O12" s="11" t="str">
        <f>IF(AND('Mapa final'!$Z$49="Muy Alta",'Mapa final'!$AB$49="Leve"),CONCATENATE("R7C",'Mapa final'!$P$49),"")</f>
        <v/>
      </c>
      <c r="P12" s="9" t="str">
        <f>IF(AND('Mapa final'!$Z$44="Muy Alta",'Mapa final'!$AB$44="Menor"),CONCATENATE("R7C",'Mapa final'!$P$44),"")</f>
        <v/>
      </c>
      <c r="Q12" s="10" t="str">
        <f>IF(AND('Mapa final'!$Z$45="Muy Alta",'Mapa final'!$AB$45="Menor"),CONCATENATE("R7C",'Mapa final'!$P$45),"")</f>
        <v/>
      </c>
      <c r="R12" s="10" t="str">
        <f>IF(AND('Mapa final'!$Z$46="Muy Alta",'Mapa final'!$AB$46="Menor"),CONCATENATE("R7C",'Mapa final'!$P$46),"")</f>
        <v/>
      </c>
      <c r="S12" s="10" t="str">
        <f>IF(AND('Mapa final'!$Z$47="Muy Alta",'Mapa final'!$AB$47="Menor"),CONCATENATE("R7C",'Mapa final'!$P$47),"")</f>
        <v/>
      </c>
      <c r="T12" s="10" t="str">
        <f>IF(AND('Mapa final'!$Z$48="Muy Alta",'Mapa final'!$AB$48="Menor"),CONCATENATE("R7C",'Mapa final'!$P$48),"")</f>
        <v/>
      </c>
      <c r="U12" s="11" t="str">
        <f>IF(AND('Mapa final'!$Z$49="Muy Alta",'Mapa final'!$AB$49="Menor"),CONCATENATE("R7C",'Mapa final'!$P$49),"")</f>
        <v/>
      </c>
      <c r="V12" s="9" t="str">
        <f>IF(AND('Mapa final'!$Z$44="Muy Alta",'Mapa final'!$AB$44="Moderado"),CONCATENATE("R7C",'Mapa final'!$P$44),"")</f>
        <v/>
      </c>
      <c r="W12" s="10" t="str">
        <f>IF(AND('Mapa final'!$Z$45="Muy Alta",'Mapa final'!$AB$45="Moderado"),CONCATENATE("R7C",'Mapa final'!$P$45),"")</f>
        <v/>
      </c>
      <c r="X12" s="10" t="str">
        <f>IF(AND('Mapa final'!$Z$46="Muy Alta",'Mapa final'!$AB$46="Moderado"),CONCATENATE("R7C",'Mapa final'!$P$46),"")</f>
        <v/>
      </c>
      <c r="Y12" s="10" t="str">
        <f>IF(AND('Mapa final'!$Z$47="Muy Alta",'Mapa final'!$AB$47="Moderado"),CONCATENATE("R7C",'Mapa final'!$P$47),"")</f>
        <v/>
      </c>
      <c r="Z12" s="10" t="str">
        <f>IF(AND('Mapa final'!$Z$48="Muy Alta",'Mapa final'!$AB$48="Moderado"),CONCATENATE("R7C",'Mapa final'!$P$48),"")</f>
        <v/>
      </c>
      <c r="AA12" s="11" t="str">
        <f>IF(AND('Mapa final'!$Z$49="Muy Alta",'Mapa final'!$AB$49="Moderado"),CONCATENATE("R7C",'Mapa final'!$P$49),"")</f>
        <v/>
      </c>
      <c r="AB12" s="9" t="str">
        <f>IF(AND('Mapa final'!$Z$44="Muy Alta",'Mapa final'!$AB$44="Mayor"),CONCATENATE("R7C",'Mapa final'!$P$44),"")</f>
        <v/>
      </c>
      <c r="AC12" s="10" t="str">
        <f>IF(AND('Mapa final'!$Z$45="Muy Alta",'Mapa final'!$AB$45="Mayor"),CONCATENATE("R7C",'Mapa final'!$P$45),"")</f>
        <v/>
      </c>
      <c r="AD12" s="10" t="str">
        <f>IF(AND('Mapa final'!$Z$46="Muy Alta",'Mapa final'!$AB$46="Mayor"),CONCATENATE("R7C",'Mapa final'!$P$46),"")</f>
        <v/>
      </c>
      <c r="AE12" s="10" t="str">
        <f>IF(AND('Mapa final'!$Z$47="Muy Alta",'Mapa final'!$AB$47="Mayor"),CONCATENATE("R7C",'Mapa final'!$P$47),"")</f>
        <v/>
      </c>
      <c r="AF12" s="10" t="str">
        <f>IF(AND('Mapa final'!$Z$48="Muy Alta",'Mapa final'!$AB$48="Mayor"),CONCATENATE("R7C",'Mapa final'!$P$48),"")</f>
        <v/>
      </c>
      <c r="AG12" s="11" t="str">
        <f>IF(AND('Mapa final'!$Z$49="Muy Alta",'Mapa final'!$AB$49="Mayor"),CONCATENATE("R7C",'Mapa final'!$P$49),"")</f>
        <v/>
      </c>
      <c r="AH12" s="12" t="str">
        <f>IF(AND('Mapa final'!$Z$44="Muy Alta",'Mapa final'!$AB$44="Catastrófico"),CONCATENATE("R7C",'Mapa final'!$P$44),"")</f>
        <v/>
      </c>
      <c r="AI12" s="13" t="str">
        <f>IF(AND('Mapa final'!$Z$45="Muy Alta",'Mapa final'!$AB$45="Catastrófico"),CONCATENATE("R7C",'Mapa final'!$P$45),"")</f>
        <v/>
      </c>
      <c r="AJ12" s="13" t="str">
        <f>IF(AND('Mapa final'!$Z$46="Muy Alta",'Mapa final'!$AB$46="Catastrófico"),CONCATENATE("R7C",'Mapa final'!$P$46),"")</f>
        <v/>
      </c>
      <c r="AK12" s="13" t="str">
        <f>IF(AND('Mapa final'!$Z$47="Muy Alta",'Mapa final'!$AB$47="Catastrófico"),CONCATENATE("R7C",'Mapa final'!$P$47),"")</f>
        <v/>
      </c>
      <c r="AL12" s="13" t="str">
        <f>IF(AND('Mapa final'!$Z$48="Muy Alta",'Mapa final'!$AB$48="Catastrófico"),CONCATENATE("R7C",'Mapa final'!$P$48),"")</f>
        <v/>
      </c>
      <c r="AM12" s="14" t="str">
        <f>IF(AND('Mapa final'!$Z$49="Muy Alta",'Mapa final'!$AB$49="Catastrófico"),CONCATENATE("R7C",'Mapa final'!$P$49),"")</f>
        <v/>
      </c>
      <c r="AN12" s="40"/>
      <c r="AO12" s="325"/>
      <c r="AP12" s="326"/>
      <c r="AQ12" s="326"/>
      <c r="AR12" s="326"/>
      <c r="AS12" s="326"/>
      <c r="AT12" s="327"/>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row>
    <row r="13" spans="1:91" ht="15" customHeight="1" x14ac:dyDescent="0.25">
      <c r="A13" s="40"/>
      <c r="B13" s="264"/>
      <c r="C13" s="264"/>
      <c r="D13" s="265"/>
      <c r="E13" s="305"/>
      <c r="F13" s="306"/>
      <c r="G13" s="306"/>
      <c r="H13" s="306"/>
      <c r="I13" s="307"/>
      <c r="J13" s="9" t="str">
        <f>IF(AND('Mapa final'!$Z$50="Muy Alta",'Mapa final'!$AB$50="Leve"),CONCATENATE("R8C",'Mapa final'!$P$50),"")</f>
        <v/>
      </c>
      <c r="K13" s="10" t="str">
        <f>IF(AND('Mapa final'!$Z$51="Muy Alta",'Mapa final'!$AB$51="Leve"),CONCATENATE("R8C",'Mapa final'!$P$51),"")</f>
        <v/>
      </c>
      <c r="L13" s="10" t="str">
        <f>IF(AND('Mapa final'!$Z$52="Muy Alta",'Mapa final'!$AB$52="Leve"),CONCATENATE("R8C",'Mapa final'!$P$52),"")</f>
        <v/>
      </c>
      <c r="M13" s="10" t="str">
        <f>IF(AND('Mapa final'!$Z$53="Muy Alta",'Mapa final'!$AB$53="Leve"),CONCATENATE("R8C",'Mapa final'!$P$53),"")</f>
        <v/>
      </c>
      <c r="N13" s="10" t="str">
        <f>IF(AND('Mapa final'!$Z$54="Muy Alta",'Mapa final'!$AB$54="Leve"),CONCATENATE("R8C",'Mapa final'!$P$54),"")</f>
        <v/>
      </c>
      <c r="O13" s="11" t="str">
        <f>IF(AND('Mapa final'!$Z$55="Muy Alta",'Mapa final'!$AB$55="Leve"),CONCATENATE("R8C",'Mapa final'!$P$55),"")</f>
        <v/>
      </c>
      <c r="P13" s="9" t="str">
        <f>IF(AND('Mapa final'!$Z$50="Muy Alta",'Mapa final'!$AB$50="Menor"),CONCATENATE("R8C",'Mapa final'!$P$50),"")</f>
        <v/>
      </c>
      <c r="Q13" s="10" t="str">
        <f>IF(AND('Mapa final'!$Z$51="Muy Alta",'Mapa final'!$AB$51="Menor"),CONCATENATE("R8C",'Mapa final'!$P$51),"")</f>
        <v/>
      </c>
      <c r="R13" s="10" t="str">
        <f>IF(AND('Mapa final'!$Z$52="Muy Alta",'Mapa final'!$AB$52="Menor"),CONCATENATE("R8C",'Mapa final'!$P$52),"")</f>
        <v/>
      </c>
      <c r="S13" s="10" t="str">
        <f>IF(AND('Mapa final'!$Z$53="Muy Alta",'Mapa final'!$AB$53="Menor"),CONCATENATE("R8C",'Mapa final'!$P$53),"")</f>
        <v/>
      </c>
      <c r="T13" s="10" t="str">
        <f>IF(AND('Mapa final'!$Z$54="Muy Alta",'Mapa final'!$AB$54="Menor"),CONCATENATE("R8C",'Mapa final'!$P$54),"")</f>
        <v/>
      </c>
      <c r="U13" s="11" t="str">
        <f>IF(AND('Mapa final'!$Z$55="Muy Alta",'Mapa final'!$AB$55="Menor"),CONCATENATE("R8C",'Mapa final'!$P$55),"")</f>
        <v/>
      </c>
      <c r="V13" s="9" t="str">
        <f>IF(AND('Mapa final'!$Z$50="Muy Alta",'Mapa final'!$AB$50="Moderado"),CONCATENATE("R8C",'Mapa final'!$P$50),"")</f>
        <v/>
      </c>
      <c r="W13" s="10" t="str">
        <f>IF(AND('Mapa final'!$Z$51="Muy Alta",'Mapa final'!$AB$51="Moderado"),CONCATENATE("R8C",'Mapa final'!$P$51),"")</f>
        <v/>
      </c>
      <c r="X13" s="10" t="str">
        <f>IF(AND('Mapa final'!$Z$52="Muy Alta",'Mapa final'!$AB$52="Moderado"),CONCATENATE("R8C",'Mapa final'!$P$52),"")</f>
        <v/>
      </c>
      <c r="Y13" s="10" t="str">
        <f>IF(AND('Mapa final'!$Z$53="Muy Alta",'Mapa final'!$AB$53="Moderado"),CONCATENATE("R8C",'Mapa final'!$P$53),"")</f>
        <v/>
      </c>
      <c r="Z13" s="10" t="str">
        <f>IF(AND('Mapa final'!$Z$54="Muy Alta",'Mapa final'!$AB$54="Moderado"),CONCATENATE("R8C",'Mapa final'!$P$54),"")</f>
        <v/>
      </c>
      <c r="AA13" s="11" t="str">
        <f>IF(AND('Mapa final'!$Z$55="Muy Alta",'Mapa final'!$AB$55="Moderado"),CONCATENATE("R8C",'Mapa final'!$P$55),"")</f>
        <v/>
      </c>
      <c r="AB13" s="9" t="str">
        <f>IF(AND('Mapa final'!$Z$50="Muy Alta",'Mapa final'!$AB$50="Mayor"),CONCATENATE("R8C",'Mapa final'!$P$50),"")</f>
        <v/>
      </c>
      <c r="AC13" s="10" t="str">
        <f>IF(AND('Mapa final'!$Z$51="Muy Alta",'Mapa final'!$AB$51="Mayor"),CONCATENATE("R8C",'Mapa final'!$P$51),"")</f>
        <v/>
      </c>
      <c r="AD13" s="10" t="str">
        <f>IF(AND('Mapa final'!$Z$52="Muy Alta",'Mapa final'!$AB$52="Mayor"),CONCATENATE("R8C",'Mapa final'!$P$52),"")</f>
        <v/>
      </c>
      <c r="AE13" s="10" t="str">
        <f>IF(AND('Mapa final'!$Z$53="Muy Alta",'Mapa final'!$AB$53="Mayor"),CONCATENATE("R8C",'Mapa final'!$P$53),"")</f>
        <v/>
      </c>
      <c r="AF13" s="10" t="str">
        <f>IF(AND('Mapa final'!$Z$54="Muy Alta",'Mapa final'!$AB$54="Mayor"),CONCATENATE("R8C",'Mapa final'!$P$54),"")</f>
        <v/>
      </c>
      <c r="AG13" s="11" t="str">
        <f>IF(AND('Mapa final'!$Z$55="Muy Alta",'Mapa final'!$AB$55="Mayor"),CONCATENATE("R8C",'Mapa final'!$P$55),"")</f>
        <v/>
      </c>
      <c r="AH13" s="12" t="str">
        <f>IF(AND('Mapa final'!$Z$50="Muy Alta",'Mapa final'!$AB$50="Catastrófico"),CONCATENATE("R8C",'Mapa final'!$P$50),"")</f>
        <v/>
      </c>
      <c r="AI13" s="13" t="str">
        <f>IF(AND('Mapa final'!$Z$51="Muy Alta",'Mapa final'!$AB$51="Catastrófico"),CONCATENATE("R8C",'Mapa final'!$P$51),"")</f>
        <v/>
      </c>
      <c r="AJ13" s="13" t="str">
        <f>IF(AND('Mapa final'!$Z$52="Muy Alta",'Mapa final'!$AB$52="Catastrófico"),CONCATENATE("R8C",'Mapa final'!$P$52),"")</f>
        <v/>
      </c>
      <c r="AK13" s="13" t="str">
        <f>IF(AND('Mapa final'!$Z$53="Muy Alta",'Mapa final'!$AB$53="Catastrófico"),CONCATENATE("R8C",'Mapa final'!$P$53),"")</f>
        <v/>
      </c>
      <c r="AL13" s="13" t="str">
        <f>IF(AND('Mapa final'!$Z$54="Muy Alta",'Mapa final'!$AB$54="Catastrófico"),CONCATENATE("R8C",'Mapa final'!$P$54),"")</f>
        <v/>
      </c>
      <c r="AM13" s="14" t="str">
        <f>IF(AND('Mapa final'!$Z$55="Muy Alta",'Mapa final'!$AB$55="Catastrófico"),CONCATENATE("R8C",'Mapa final'!$P$55),"")</f>
        <v/>
      </c>
      <c r="AN13" s="40"/>
      <c r="AO13" s="325"/>
      <c r="AP13" s="326"/>
      <c r="AQ13" s="326"/>
      <c r="AR13" s="326"/>
      <c r="AS13" s="326"/>
      <c r="AT13" s="327"/>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row>
    <row r="14" spans="1:91" ht="15" customHeight="1" x14ac:dyDescent="0.25">
      <c r="A14" s="40"/>
      <c r="B14" s="264"/>
      <c r="C14" s="264"/>
      <c r="D14" s="265"/>
      <c r="E14" s="305"/>
      <c r="F14" s="306"/>
      <c r="G14" s="306"/>
      <c r="H14" s="306"/>
      <c r="I14" s="307"/>
      <c r="J14" s="9" t="str">
        <f>IF(AND('Mapa final'!$Z$56="Muy Alta",'Mapa final'!$AB$56="Leve"),CONCATENATE("R9C",'Mapa final'!$P$56),"")</f>
        <v/>
      </c>
      <c r="K14" s="10" t="str">
        <f>IF(AND('Mapa final'!$Z$57="Muy Alta",'Mapa final'!$AB$57="Leve"),CONCATENATE("R9C",'Mapa final'!$P$57),"")</f>
        <v/>
      </c>
      <c r="L14" s="10" t="str">
        <f>IF(AND('Mapa final'!$Z$58="Muy Alta",'Mapa final'!$AB$58="Leve"),CONCATENATE("R9C",'Mapa final'!$P$58),"")</f>
        <v/>
      </c>
      <c r="M14" s="10" t="str">
        <f>IF(AND('Mapa final'!$Z$59="Muy Alta",'Mapa final'!$AB$59="Leve"),CONCATENATE("R9C",'Mapa final'!$P$59),"")</f>
        <v/>
      </c>
      <c r="N14" s="10" t="str">
        <f>IF(AND('Mapa final'!$Z$60="Muy Alta",'Mapa final'!$AB$60="Leve"),CONCATENATE("R9C",'Mapa final'!$P$60),"")</f>
        <v/>
      </c>
      <c r="O14" s="11" t="str">
        <f>IF(AND('Mapa final'!$Z$61="Muy Alta",'Mapa final'!$AB$61="Leve"),CONCATENATE("R9C",'Mapa final'!$P$61),"")</f>
        <v/>
      </c>
      <c r="P14" s="9" t="str">
        <f>IF(AND('Mapa final'!$Z$56="Muy Alta",'Mapa final'!$AB$56="Menor"),CONCATENATE("R9C",'Mapa final'!$P$56),"")</f>
        <v/>
      </c>
      <c r="Q14" s="10" t="str">
        <f>IF(AND('Mapa final'!$Z$57="Muy Alta",'Mapa final'!$AB$57="Menor"),CONCATENATE("R9C",'Mapa final'!$P$57),"")</f>
        <v/>
      </c>
      <c r="R14" s="10" t="str">
        <f>IF(AND('Mapa final'!$Z$58="Muy Alta",'Mapa final'!$AB$58="Menor"),CONCATENATE("R9C",'Mapa final'!$P$58),"")</f>
        <v/>
      </c>
      <c r="S14" s="10" t="str">
        <f>IF(AND('Mapa final'!$Z$59="Muy Alta",'Mapa final'!$AB$59="Menor"),CONCATENATE("R9C",'Mapa final'!$P$59),"")</f>
        <v/>
      </c>
      <c r="T14" s="10" t="str">
        <f>IF(AND('Mapa final'!$Z$60="Muy Alta",'Mapa final'!$AB$60="Menor"),CONCATENATE("R9C",'Mapa final'!$P$60),"")</f>
        <v/>
      </c>
      <c r="U14" s="11" t="str">
        <f>IF(AND('Mapa final'!$Z$61="Muy Alta",'Mapa final'!$AB$61="Menor"),CONCATENATE("R9C",'Mapa final'!$P$61),"")</f>
        <v/>
      </c>
      <c r="V14" s="9" t="str">
        <f>IF(AND('Mapa final'!$Z$56="Muy Alta",'Mapa final'!$AB$56="Moderado"),CONCATENATE("R9C",'Mapa final'!$P$56),"")</f>
        <v/>
      </c>
      <c r="W14" s="10" t="str">
        <f>IF(AND('Mapa final'!$Z$57="Muy Alta",'Mapa final'!$AB$57="Moderado"),CONCATENATE("R9C",'Mapa final'!$P$57),"")</f>
        <v/>
      </c>
      <c r="X14" s="10" t="str">
        <f>IF(AND('Mapa final'!$Z$58="Muy Alta",'Mapa final'!$AB$58="Moderado"),CONCATENATE("R9C",'Mapa final'!$P$58),"")</f>
        <v/>
      </c>
      <c r="Y14" s="10" t="str">
        <f>IF(AND('Mapa final'!$Z$59="Muy Alta",'Mapa final'!$AB$59="Moderado"),CONCATENATE("R9C",'Mapa final'!$P$59),"")</f>
        <v/>
      </c>
      <c r="Z14" s="10" t="str">
        <f>IF(AND('Mapa final'!$Z$60="Muy Alta",'Mapa final'!$AB$60="Moderado"),CONCATENATE("R9C",'Mapa final'!$P$60),"")</f>
        <v/>
      </c>
      <c r="AA14" s="11" t="str">
        <f>IF(AND('Mapa final'!$Z$61="Muy Alta",'Mapa final'!$AB$61="Moderado"),CONCATENATE("R9C",'Mapa final'!$P$61),"")</f>
        <v/>
      </c>
      <c r="AB14" s="9" t="str">
        <f>IF(AND('Mapa final'!$Z$56="Muy Alta",'Mapa final'!$AB$56="Mayor"),CONCATENATE("R9C",'Mapa final'!$P$56),"")</f>
        <v/>
      </c>
      <c r="AC14" s="10" t="str">
        <f>IF(AND('Mapa final'!$Z$57="Muy Alta",'Mapa final'!$AB$57="Mayor"),CONCATENATE("R9C",'Mapa final'!$P$57),"")</f>
        <v/>
      </c>
      <c r="AD14" s="10" t="str">
        <f>IF(AND('Mapa final'!$Z$58="Muy Alta",'Mapa final'!$AB$58="Mayor"),CONCATENATE("R9C",'Mapa final'!$P$58),"")</f>
        <v/>
      </c>
      <c r="AE14" s="10" t="str">
        <f>IF(AND('Mapa final'!$Z$59="Muy Alta",'Mapa final'!$AB$59="Mayor"),CONCATENATE("R9C",'Mapa final'!$P$59),"")</f>
        <v/>
      </c>
      <c r="AF14" s="10" t="str">
        <f>IF(AND('Mapa final'!$Z$60="Muy Alta",'Mapa final'!$AB$60="Mayor"),CONCATENATE("R9C",'Mapa final'!$P$60),"")</f>
        <v/>
      </c>
      <c r="AG14" s="11" t="str">
        <f>IF(AND('Mapa final'!$Z$61="Muy Alta",'Mapa final'!$AB$61="Mayor"),CONCATENATE("R9C",'Mapa final'!$P$61),"")</f>
        <v/>
      </c>
      <c r="AH14" s="12" t="str">
        <f>IF(AND('Mapa final'!$Z$56="Muy Alta",'Mapa final'!$AB$56="Catastrófico"),CONCATENATE("R9C",'Mapa final'!$P$56),"")</f>
        <v/>
      </c>
      <c r="AI14" s="13" t="str">
        <f>IF(AND('Mapa final'!$Z$57="Muy Alta",'Mapa final'!$AB$57="Catastrófico"),CONCATENATE("R9C",'Mapa final'!$P$57),"")</f>
        <v/>
      </c>
      <c r="AJ14" s="13" t="str">
        <f>IF(AND('Mapa final'!$Z$58="Muy Alta",'Mapa final'!$AB$58="Catastrófico"),CONCATENATE("R9C",'Mapa final'!$P$58),"")</f>
        <v/>
      </c>
      <c r="AK14" s="13" t="str">
        <f>IF(AND('Mapa final'!$Z$59="Muy Alta",'Mapa final'!$AB$59="Catastrófico"),CONCATENATE("R9C",'Mapa final'!$P$59),"")</f>
        <v/>
      </c>
      <c r="AL14" s="13" t="str">
        <f>IF(AND('Mapa final'!$Z$60="Muy Alta",'Mapa final'!$AB$60="Catastrófico"),CONCATENATE("R9C",'Mapa final'!$P$60),"")</f>
        <v/>
      </c>
      <c r="AM14" s="14" t="str">
        <f>IF(AND('Mapa final'!$Z$61="Muy Alta",'Mapa final'!$AB$61="Catastrófico"),CONCATENATE("R9C",'Mapa final'!$P$61),"")</f>
        <v/>
      </c>
      <c r="AN14" s="40"/>
      <c r="AO14" s="325"/>
      <c r="AP14" s="326"/>
      <c r="AQ14" s="326"/>
      <c r="AR14" s="326"/>
      <c r="AS14" s="326"/>
      <c r="AT14" s="327"/>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row>
    <row r="15" spans="1:91" ht="15.75" customHeight="1" thickBot="1" x14ac:dyDescent="0.3">
      <c r="A15" s="40"/>
      <c r="B15" s="264"/>
      <c r="C15" s="264"/>
      <c r="D15" s="265"/>
      <c r="E15" s="308"/>
      <c r="F15" s="309"/>
      <c r="G15" s="309"/>
      <c r="H15" s="309"/>
      <c r="I15" s="310"/>
      <c r="J15" s="15" t="e">
        <f>IF(AND('Mapa final'!#REF!="Muy Alta",'Mapa final'!#REF!="Leve"),CONCATENATE("R10C",'Mapa final'!#REF!),"")</f>
        <v>#REF!</v>
      </c>
      <c r="K15" s="16" t="e">
        <f>IF(AND('Mapa final'!#REF!="Muy Alta",'Mapa final'!#REF!="Leve"),CONCATENATE("R10C",'Mapa final'!#REF!),"")</f>
        <v>#REF!</v>
      </c>
      <c r="L15" s="16" t="e">
        <f>IF(AND('Mapa final'!#REF!="Muy Alta",'Mapa final'!#REF!="Leve"),CONCATENATE("R10C",'Mapa final'!#REF!),"")</f>
        <v>#REF!</v>
      </c>
      <c r="M15" s="16" t="e">
        <f>IF(AND('Mapa final'!#REF!="Muy Alta",'Mapa final'!#REF!="Leve"),CONCATENATE("R10C",'Mapa final'!#REF!),"")</f>
        <v>#REF!</v>
      </c>
      <c r="N15" s="16" t="e">
        <f>IF(AND('Mapa final'!#REF!="Muy Alta",'Mapa final'!#REF!="Leve"),CONCATENATE("R10C",'Mapa final'!#REF!),"")</f>
        <v>#REF!</v>
      </c>
      <c r="O15" s="17" t="e">
        <f>IF(AND('Mapa final'!#REF!="Muy Alta",'Mapa final'!#REF!="Leve"),CONCATENATE("R10C",'Mapa final'!#REF!),"")</f>
        <v>#REF!</v>
      </c>
      <c r="P15" s="9" t="e">
        <f>IF(AND('Mapa final'!#REF!="Muy Alta",'Mapa final'!#REF!="Menor"),CONCATENATE("R10C",'Mapa final'!#REF!),"")</f>
        <v>#REF!</v>
      </c>
      <c r="Q15" s="10" t="e">
        <f>IF(AND('Mapa final'!#REF!="Muy Alta",'Mapa final'!#REF!="Menor"),CONCATENATE("R10C",'Mapa final'!#REF!),"")</f>
        <v>#REF!</v>
      </c>
      <c r="R15" s="10" t="e">
        <f>IF(AND('Mapa final'!#REF!="Muy Alta",'Mapa final'!#REF!="Menor"),CONCATENATE("R10C",'Mapa final'!#REF!),"")</f>
        <v>#REF!</v>
      </c>
      <c r="S15" s="10" t="e">
        <f>IF(AND('Mapa final'!#REF!="Muy Alta",'Mapa final'!#REF!="Menor"),CONCATENATE("R10C",'Mapa final'!#REF!),"")</f>
        <v>#REF!</v>
      </c>
      <c r="T15" s="10" t="e">
        <f>IF(AND('Mapa final'!#REF!="Muy Alta",'Mapa final'!#REF!="Menor"),CONCATENATE("R10C",'Mapa final'!#REF!),"")</f>
        <v>#REF!</v>
      </c>
      <c r="U15" s="11" t="e">
        <f>IF(AND('Mapa final'!#REF!="Muy Alta",'Mapa final'!#REF!="Menor"),CONCATENATE("R10C",'Mapa final'!#REF!),"")</f>
        <v>#REF!</v>
      </c>
      <c r="V15" s="15" t="e">
        <f>IF(AND('Mapa final'!#REF!="Muy Alta",'Mapa final'!#REF!="Moderado"),CONCATENATE("R10C",'Mapa final'!#REF!),"")</f>
        <v>#REF!</v>
      </c>
      <c r="W15" s="16" t="e">
        <f>IF(AND('Mapa final'!#REF!="Muy Alta",'Mapa final'!#REF!="Moderado"),CONCATENATE("R10C",'Mapa final'!#REF!),"")</f>
        <v>#REF!</v>
      </c>
      <c r="X15" s="16" t="e">
        <f>IF(AND('Mapa final'!#REF!="Muy Alta",'Mapa final'!#REF!="Moderado"),CONCATENATE("R10C",'Mapa final'!#REF!),"")</f>
        <v>#REF!</v>
      </c>
      <c r="Y15" s="16" t="e">
        <f>IF(AND('Mapa final'!#REF!="Muy Alta",'Mapa final'!#REF!="Moderado"),CONCATENATE("R10C",'Mapa final'!#REF!),"")</f>
        <v>#REF!</v>
      </c>
      <c r="Z15" s="16" t="e">
        <f>IF(AND('Mapa final'!#REF!="Muy Alta",'Mapa final'!#REF!="Moderado"),CONCATENATE("R10C",'Mapa final'!#REF!),"")</f>
        <v>#REF!</v>
      </c>
      <c r="AA15" s="17" t="e">
        <f>IF(AND('Mapa final'!#REF!="Muy Alta",'Mapa final'!#REF!="Moderado"),CONCATENATE("R10C",'Mapa final'!#REF!),"")</f>
        <v>#REF!</v>
      </c>
      <c r="AB15" s="9" t="e">
        <f>IF(AND('Mapa final'!#REF!="Muy Alta",'Mapa final'!#REF!="Mayor"),CONCATENATE("R10C",'Mapa final'!#REF!),"")</f>
        <v>#REF!</v>
      </c>
      <c r="AC15" s="10" t="e">
        <f>IF(AND('Mapa final'!#REF!="Muy Alta",'Mapa final'!#REF!="Mayor"),CONCATENATE("R10C",'Mapa final'!#REF!),"")</f>
        <v>#REF!</v>
      </c>
      <c r="AD15" s="10" t="e">
        <f>IF(AND('Mapa final'!#REF!="Muy Alta",'Mapa final'!#REF!="Mayor"),CONCATENATE("R10C",'Mapa final'!#REF!),"")</f>
        <v>#REF!</v>
      </c>
      <c r="AE15" s="10" t="e">
        <f>IF(AND('Mapa final'!#REF!="Muy Alta",'Mapa final'!#REF!="Mayor"),CONCATENATE("R10C",'Mapa final'!#REF!),"")</f>
        <v>#REF!</v>
      </c>
      <c r="AF15" s="10" t="e">
        <f>IF(AND('Mapa final'!#REF!="Muy Alta",'Mapa final'!#REF!="Mayor"),CONCATENATE("R10C",'Mapa final'!#REF!),"")</f>
        <v>#REF!</v>
      </c>
      <c r="AG15" s="11" t="e">
        <f>IF(AND('Mapa final'!#REF!="Muy Alta",'Mapa final'!#REF!="Mayor"),CONCATENATE("R10C",'Mapa final'!#REF!),"")</f>
        <v>#REF!</v>
      </c>
      <c r="AH15" s="18" t="e">
        <f>IF(AND('Mapa final'!#REF!="Muy Alta",'Mapa final'!#REF!="Catastrófico"),CONCATENATE("R10C",'Mapa final'!#REF!),"")</f>
        <v>#REF!</v>
      </c>
      <c r="AI15" s="19" t="e">
        <f>IF(AND('Mapa final'!#REF!="Muy Alta",'Mapa final'!#REF!="Catastrófico"),CONCATENATE("R10C",'Mapa final'!#REF!),"")</f>
        <v>#REF!</v>
      </c>
      <c r="AJ15" s="19" t="e">
        <f>IF(AND('Mapa final'!#REF!="Muy Alta",'Mapa final'!#REF!="Catastrófico"),CONCATENATE("R10C",'Mapa final'!#REF!),"")</f>
        <v>#REF!</v>
      </c>
      <c r="AK15" s="19" t="e">
        <f>IF(AND('Mapa final'!#REF!="Muy Alta",'Mapa final'!#REF!="Catastrófico"),CONCATENATE("R10C",'Mapa final'!#REF!),"")</f>
        <v>#REF!</v>
      </c>
      <c r="AL15" s="19" t="e">
        <f>IF(AND('Mapa final'!#REF!="Muy Alta",'Mapa final'!#REF!="Catastrófico"),CONCATENATE("R10C",'Mapa final'!#REF!),"")</f>
        <v>#REF!</v>
      </c>
      <c r="AM15" s="20" t="e">
        <f>IF(AND('Mapa final'!#REF!="Muy Alta",'Mapa final'!#REF!="Catastrófico"),CONCATENATE("R10C",'Mapa final'!#REF!),"")</f>
        <v>#REF!</v>
      </c>
      <c r="AN15" s="40"/>
      <c r="AO15" s="328"/>
      <c r="AP15" s="329"/>
      <c r="AQ15" s="329"/>
      <c r="AR15" s="329"/>
      <c r="AS15" s="329"/>
      <c r="AT15" s="33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row>
    <row r="16" spans="1:91" ht="15" customHeight="1" x14ac:dyDescent="0.25">
      <c r="A16" s="40"/>
      <c r="B16" s="264"/>
      <c r="C16" s="264"/>
      <c r="D16" s="265"/>
      <c r="E16" s="302" t="s">
        <v>45</v>
      </c>
      <c r="F16" s="303"/>
      <c r="G16" s="303"/>
      <c r="H16" s="303"/>
      <c r="I16" s="303"/>
      <c r="J16" s="21" t="str">
        <f>IF(AND('Mapa final'!$Z$8="Alta",'Mapa final'!$AB$8="Leve"),CONCATENATE("R1C",'Mapa final'!$P$8),"")</f>
        <v/>
      </c>
      <c r="K16" s="22" t="str">
        <f>IF(AND('Mapa final'!$Z$9="Alta",'Mapa final'!$AB$9="Leve"),CONCATENATE("R1C",'Mapa final'!$P$9),"")</f>
        <v/>
      </c>
      <c r="L16" s="22" t="str">
        <f>IF(AND('Mapa final'!$Z$10="Alta",'Mapa final'!$AB$10="Leve"),CONCATENATE("R1C",'Mapa final'!$P$10),"")</f>
        <v/>
      </c>
      <c r="M16" s="22" t="str">
        <f>IF(AND('Mapa final'!$Z$11="Alta",'Mapa final'!$AB$11="Leve"),CONCATENATE("R1C",'Mapa final'!$P$11),"")</f>
        <v/>
      </c>
      <c r="N16" s="22" t="str">
        <f>IF(AND('Mapa final'!$Z$12="Alta",'Mapa final'!$AB$12="Leve"),CONCATENATE("R1C",'Mapa final'!$P$12),"")</f>
        <v/>
      </c>
      <c r="O16" s="23" t="str">
        <f>IF(AND('Mapa final'!$Z$13="Alta",'Mapa final'!$AB$13="Leve"),CONCATENATE("R1C",'Mapa final'!$P$13),"")</f>
        <v/>
      </c>
      <c r="P16" s="21" t="str">
        <f>IF(AND('Mapa final'!$Z$8="Alta",'Mapa final'!$AB$8="Menor"),CONCATENATE("R1C",'Mapa final'!$P$8),"")</f>
        <v/>
      </c>
      <c r="Q16" s="22" t="str">
        <f>IF(AND('Mapa final'!$Z$9="Alta",'Mapa final'!$AB$9="Menor"),CONCATENATE("R1C",'Mapa final'!$P$9),"")</f>
        <v/>
      </c>
      <c r="R16" s="22" t="str">
        <f>IF(AND('Mapa final'!$Z$10="Alta",'Mapa final'!$AB$10="Menor"),CONCATENATE("R1C",'Mapa final'!$P$10),"")</f>
        <v/>
      </c>
      <c r="S16" s="22" t="str">
        <f>IF(AND('Mapa final'!$Z$11="Alta",'Mapa final'!$AB$11="Menor"),CONCATENATE("R1C",'Mapa final'!$P$11),"")</f>
        <v/>
      </c>
      <c r="T16" s="22" t="str">
        <f>IF(AND('Mapa final'!$Z$12="Alta",'Mapa final'!$AB$12="Menor"),CONCATENATE("R1C",'Mapa final'!$P$12),"")</f>
        <v/>
      </c>
      <c r="U16" s="23" t="str">
        <f>IF(AND('Mapa final'!$Z$13="Alta",'Mapa final'!$AB$13="Menor"),CONCATENATE("R1C",'Mapa final'!$P$13),"")</f>
        <v/>
      </c>
      <c r="V16" s="3" t="str">
        <f>IF(AND('Mapa final'!$Z$8="Alta",'Mapa final'!$AB$8="Moderado"),CONCATENATE("R1C",'Mapa final'!$P$8),"")</f>
        <v/>
      </c>
      <c r="W16" s="4" t="str">
        <f>IF(AND('Mapa final'!$Z$9="Alta",'Mapa final'!$AB$9="Moderado"),CONCATENATE("R1C",'Mapa final'!$P$9),"")</f>
        <v/>
      </c>
      <c r="X16" s="4" t="str">
        <f>IF(AND('Mapa final'!$Z$10="Alta",'Mapa final'!$AB$10="Moderado"),CONCATENATE("R1C",'Mapa final'!$P$10),"")</f>
        <v/>
      </c>
      <c r="Y16" s="4" t="str">
        <f>IF(AND('Mapa final'!$Z$11="Alta",'Mapa final'!$AB$11="Moderado"),CONCATENATE("R1C",'Mapa final'!$P$11),"")</f>
        <v/>
      </c>
      <c r="Z16" s="4" t="str">
        <f>IF(AND('Mapa final'!$Z$12="Alta",'Mapa final'!$AB$12="Moderado"),CONCATENATE("R1C",'Mapa final'!$P$12),"")</f>
        <v/>
      </c>
      <c r="AA16" s="5" t="str">
        <f>IF(AND('Mapa final'!$Z$13="Alta",'Mapa final'!$AB$13="Moderado"),CONCATENATE("R1C",'Mapa final'!$P$13),"")</f>
        <v/>
      </c>
      <c r="AB16" s="3" t="str">
        <f>IF(AND('Mapa final'!$Z$8="Alta",'Mapa final'!$AB$8="Mayor"),CONCATENATE("R1C",'Mapa final'!$P$8),"")</f>
        <v/>
      </c>
      <c r="AC16" s="4" t="str">
        <f>IF(AND('Mapa final'!$Z$9="Alta",'Mapa final'!$AB$9="Mayor"),CONCATENATE("R1C",'Mapa final'!$P$9),"")</f>
        <v/>
      </c>
      <c r="AD16" s="4" t="str">
        <f>IF(AND('Mapa final'!$Z$10="Alta",'Mapa final'!$AB$10="Mayor"),CONCATENATE("R1C",'Mapa final'!$P$10),"")</f>
        <v/>
      </c>
      <c r="AE16" s="4" t="str">
        <f>IF(AND('Mapa final'!$Z$11="Alta",'Mapa final'!$AB$11="Mayor"),CONCATENATE("R1C",'Mapa final'!$P$11),"")</f>
        <v/>
      </c>
      <c r="AF16" s="4" t="str">
        <f>IF(AND('Mapa final'!$Z$12="Alta",'Mapa final'!$AB$12="Mayor"),CONCATENATE("R1C",'Mapa final'!$P$12),"")</f>
        <v/>
      </c>
      <c r="AG16" s="5" t="str">
        <f>IF(AND('Mapa final'!$Z$13="Alta",'Mapa final'!$AB$13="Mayor"),CONCATENATE("R1C",'Mapa final'!$P$13),"")</f>
        <v/>
      </c>
      <c r="AH16" s="6" t="str">
        <f>IF(AND('Mapa final'!$Z$8="Alta",'Mapa final'!$AB$8="Catastrófico"),CONCATENATE("R1C",'Mapa final'!$P$8),"")</f>
        <v/>
      </c>
      <c r="AI16" s="7" t="str">
        <f>IF(AND('Mapa final'!$Z$9="Alta",'Mapa final'!$AB$9="Catastrófico"),CONCATENATE("R1C",'Mapa final'!$P$9),"")</f>
        <v/>
      </c>
      <c r="AJ16" s="7" t="str">
        <f>IF(AND('Mapa final'!$Z$10="Alta",'Mapa final'!$AB$10="Catastrófico"),CONCATENATE("R1C",'Mapa final'!$P$10),"")</f>
        <v/>
      </c>
      <c r="AK16" s="7" t="str">
        <f>IF(AND('Mapa final'!$Z$11="Alta",'Mapa final'!$AB$11="Catastrófico"),CONCATENATE("R1C",'Mapa final'!$P$11),"")</f>
        <v/>
      </c>
      <c r="AL16" s="7" t="str">
        <f>IF(AND('Mapa final'!$Z$12="Alta",'Mapa final'!$AB$12="Catastrófico"),CONCATENATE("R1C",'Mapa final'!$P$12),"")</f>
        <v/>
      </c>
      <c r="AM16" s="8" t="str">
        <f>IF(AND('Mapa final'!$Z$13="Alta",'Mapa final'!$AB$13="Catastrófico"),CONCATENATE("R1C",'Mapa final'!$P$13),"")</f>
        <v/>
      </c>
      <c r="AN16" s="40"/>
      <c r="AO16" s="312" t="s">
        <v>46</v>
      </c>
      <c r="AP16" s="313"/>
      <c r="AQ16" s="313"/>
      <c r="AR16" s="313"/>
      <c r="AS16" s="313"/>
      <c r="AT16" s="314"/>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row>
    <row r="17" spans="1:76" ht="15" customHeight="1" x14ac:dyDescent="0.25">
      <c r="A17" s="40"/>
      <c r="B17" s="264"/>
      <c r="C17" s="264"/>
      <c r="D17" s="265"/>
      <c r="E17" s="321"/>
      <c r="F17" s="306"/>
      <c r="G17" s="306"/>
      <c r="H17" s="306"/>
      <c r="I17" s="306"/>
      <c r="J17" s="24" t="str">
        <f>IF(AND('Mapa final'!$Z$14="Alta",'Mapa final'!$AB$14="Leve"),CONCATENATE("R2C",'Mapa final'!$P$14),"")</f>
        <v/>
      </c>
      <c r="K17" s="25" t="str">
        <f>IF(AND('Mapa final'!$Z$15="Alta",'Mapa final'!$AB$15="Leve"),CONCATENATE("R2C",'Mapa final'!$P$15),"")</f>
        <v/>
      </c>
      <c r="L17" s="25" t="str">
        <f>IF(AND('Mapa final'!$Z$16="Alta",'Mapa final'!$AB$16="Leve"),CONCATENATE("R2C",'Mapa final'!$P$16),"")</f>
        <v/>
      </c>
      <c r="M17" s="25" t="str">
        <f>IF(AND('Mapa final'!$Z$17="Alta",'Mapa final'!$AB$17="Leve"),CONCATENATE("R2C",'Mapa final'!$P$17),"")</f>
        <v/>
      </c>
      <c r="N17" s="25" t="str">
        <f>IF(AND('Mapa final'!$Z$18="Alta",'Mapa final'!$AB$18="Leve"),CONCATENATE("R2C",'Mapa final'!$P$18),"")</f>
        <v/>
      </c>
      <c r="O17" s="26" t="str">
        <f>IF(AND('Mapa final'!$Z$19="Alta",'Mapa final'!$AB$19="Leve"),CONCATENATE("R2C",'Mapa final'!$P$19),"")</f>
        <v/>
      </c>
      <c r="P17" s="24" t="str">
        <f>IF(AND('Mapa final'!$Z$14="Alta",'Mapa final'!$AB$14="Menor"),CONCATENATE("R2C",'Mapa final'!$P$14),"")</f>
        <v/>
      </c>
      <c r="Q17" s="25" t="str">
        <f>IF(AND('Mapa final'!$Z$15="Alta",'Mapa final'!$AB$15="Menor"),CONCATENATE("R2C",'Mapa final'!$P$15),"")</f>
        <v/>
      </c>
      <c r="R17" s="25" t="str">
        <f>IF(AND('Mapa final'!$Z$16="Alta",'Mapa final'!$AB$16="Menor"),CONCATENATE("R2C",'Mapa final'!$P$16),"")</f>
        <v/>
      </c>
      <c r="S17" s="25" t="str">
        <f>IF(AND('Mapa final'!$Z$17="Alta",'Mapa final'!$AB$17="Menor"),CONCATENATE("R2C",'Mapa final'!$P$17),"")</f>
        <v/>
      </c>
      <c r="T17" s="25" t="str">
        <f>IF(AND('Mapa final'!$Z$18="Alta",'Mapa final'!$AB$18="Menor"),CONCATENATE("R2C",'Mapa final'!$P$18),"")</f>
        <v/>
      </c>
      <c r="U17" s="26" t="str">
        <f>IF(AND('Mapa final'!$Z$19="Alta",'Mapa final'!$AB$19="Menor"),CONCATENATE("R2C",'Mapa final'!$P$19),"")</f>
        <v/>
      </c>
      <c r="V17" s="9" t="str">
        <f>IF(AND('Mapa final'!$Z$14="Alta",'Mapa final'!$AB$14="Moderado"),CONCATENATE("R2C",'Mapa final'!$P$14),"")</f>
        <v/>
      </c>
      <c r="W17" s="10" t="str">
        <f>IF(AND('Mapa final'!$Z$15="Alta",'Mapa final'!$AB$15="Moderado"),CONCATENATE("R2C",'Mapa final'!$P$15),"")</f>
        <v/>
      </c>
      <c r="X17" s="10" t="str">
        <f>IF(AND('Mapa final'!$Z$16="Alta",'Mapa final'!$AB$16="Moderado"),CONCATENATE("R2C",'Mapa final'!$P$16),"")</f>
        <v/>
      </c>
      <c r="Y17" s="10" t="str">
        <f>IF(AND('Mapa final'!$Z$17="Alta",'Mapa final'!$AB$17="Moderado"),CONCATENATE("R2C",'Mapa final'!$P$17),"")</f>
        <v/>
      </c>
      <c r="Z17" s="10" t="str">
        <f>IF(AND('Mapa final'!$Z$18="Alta",'Mapa final'!$AB$18="Moderado"),CONCATENATE("R2C",'Mapa final'!$P$18),"")</f>
        <v/>
      </c>
      <c r="AA17" s="11" t="str">
        <f>IF(AND('Mapa final'!$Z$19="Alta",'Mapa final'!$AB$19="Moderado"),CONCATENATE("R2C",'Mapa final'!$P$19),"")</f>
        <v/>
      </c>
      <c r="AB17" s="9" t="str">
        <f>IF(AND('Mapa final'!$Z$14="Alta",'Mapa final'!$AB$14="Mayor"),CONCATENATE("R2C",'Mapa final'!$P$14),"")</f>
        <v/>
      </c>
      <c r="AC17" s="10" t="str">
        <f>IF(AND('Mapa final'!$Z$15="Alta",'Mapa final'!$AB$15="Mayor"),CONCATENATE("R2C",'Mapa final'!$P$15),"")</f>
        <v/>
      </c>
      <c r="AD17" s="10" t="str">
        <f>IF(AND('Mapa final'!$Z$16="Alta",'Mapa final'!$AB$16="Mayor"),CONCATENATE("R2C",'Mapa final'!$P$16),"")</f>
        <v/>
      </c>
      <c r="AE17" s="10" t="str">
        <f>IF(AND('Mapa final'!$Z$17="Alta",'Mapa final'!$AB$17="Mayor"),CONCATENATE("R2C",'Mapa final'!$P$17),"")</f>
        <v/>
      </c>
      <c r="AF17" s="10" t="str">
        <f>IF(AND('Mapa final'!$Z$18="Alta",'Mapa final'!$AB$18="Mayor"),CONCATENATE("R2C",'Mapa final'!$P$18),"")</f>
        <v/>
      </c>
      <c r="AG17" s="11" t="str">
        <f>IF(AND('Mapa final'!$Z$19="Alta",'Mapa final'!$AB$19="Mayor"),CONCATENATE("R2C",'Mapa final'!$P$19),"")</f>
        <v/>
      </c>
      <c r="AH17" s="12" t="str">
        <f>IF(AND('Mapa final'!$Z$14="Alta",'Mapa final'!$AB$14="Catastrófico"),CONCATENATE("R2C",'Mapa final'!$P$14),"")</f>
        <v/>
      </c>
      <c r="AI17" s="13" t="str">
        <f>IF(AND('Mapa final'!$Z$15="Alta",'Mapa final'!$AB$15="Catastrófico"),CONCATENATE("R2C",'Mapa final'!$P$15),"")</f>
        <v/>
      </c>
      <c r="AJ17" s="13" t="str">
        <f>IF(AND('Mapa final'!$Z$16="Alta",'Mapa final'!$AB$16="Catastrófico"),CONCATENATE("R2C",'Mapa final'!$P$16),"")</f>
        <v/>
      </c>
      <c r="AK17" s="13" t="str">
        <f>IF(AND('Mapa final'!$Z$17="Alta",'Mapa final'!$AB$17="Catastrófico"),CONCATENATE("R2C",'Mapa final'!$P$17),"")</f>
        <v/>
      </c>
      <c r="AL17" s="13" t="str">
        <f>IF(AND('Mapa final'!$Z$18="Alta",'Mapa final'!$AB$18="Catastrófico"),CONCATENATE("R2C",'Mapa final'!$P$18),"")</f>
        <v/>
      </c>
      <c r="AM17" s="14" t="str">
        <f>IF(AND('Mapa final'!$Z$19="Alta",'Mapa final'!$AB$19="Catastrófico"),CONCATENATE("R2C",'Mapa final'!$P$19),"")</f>
        <v/>
      </c>
      <c r="AN17" s="40"/>
      <c r="AO17" s="315"/>
      <c r="AP17" s="316"/>
      <c r="AQ17" s="316"/>
      <c r="AR17" s="316"/>
      <c r="AS17" s="316"/>
      <c r="AT17" s="317"/>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row>
    <row r="18" spans="1:76" ht="15" customHeight="1" x14ac:dyDescent="0.25">
      <c r="A18" s="40"/>
      <c r="B18" s="264"/>
      <c r="C18" s="264"/>
      <c r="D18" s="265"/>
      <c r="E18" s="305"/>
      <c r="F18" s="306"/>
      <c r="G18" s="306"/>
      <c r="H18" s="306"/>
      <c r="I18" s="306"/>
      <c r="J18" s="24" t="str">
        <f>IF(AND('Mapa final'!$Z$20="Alta",'Mapa final'!$AB$20="Leve"),CONCATENATE("R3C",'Mapa final'!$P$20),"")</f>
        <v/>
      </c>
      <c r="K18" s="25" t="str">
        <f>IF(AND('Mapa final'!$Z$21="Alta",'Mapa final'!$AB$21="Leve"),CONCATENATE("R3C",'Mapa final'!$P$21),"")</f>
        <v/>
      </c>
      <c r="L18" s="25" t="str">
        <f>IF(AND('Mapa final'!$Z$22="Alta",'Mapa final'!$AB$22="Leve"),CONCATENATE("R3C",'Mapa final'!$P$22),"")</f>
        <v/>
      </c>
      <c r="M18" s="25" t="str">
        <f>IF(AND('Mapa final'!$Z$23="Alta",'Mapa final'!$AB$23="Leve"),CONCATENATE("R3C",'Mapa final'!$P$23),"")</f>
        <v/>
      </c>
      <c r="N18" s="25" t="str">
        <f>IF(AND('Mapa final'!$Z$24="Alta",'Mapa final'!$AB$24="Leve"),CONCATENATE("R3C",'Mapa final'!$P$24),"")</f>
        <v/>
      </c>
      <c r="O18" s="26" t="str">
        <f>IF(AND('Mapa final'!$Z$25="Alta",'Mapa final'!$AB$25="Leve"),CONCATENATE("R3C",'Mapa final'!$P$25),"")</f>
        <v/>
      </c>
      <c r="P18" s="24" t="str">
        <f>IF(AND('Mapa final'!$Z$20="Alta",'Mapa final'!$AB$20="Menor"),CONCATENATE("R3C",'Mapa final'!$P$20),"")</f>
        <v/>
      </c>
      <c r="Q18" s="25" t="str">
        <f>IF(AND('Mapa final'!$Z$21="Alta",'Mapa final'!$AB$21="Menor"),CONCATENATE("R3C",'Mapa final'!$P$21),"")</f>
        <v/>
      </c>
      <c r="R18" s="25" t="str">
        <f>IF(AND('Mapa final'!$Z$22="Alta",'Mapa final'!$AB$22="Menor"),CONCATENATE("R3C",'Mapa final'!$P$22),"")</f>
        <v/>
      </c>
      <c r="S18" s="25" t="str">
        <f>IF(AND('Mapa final'!$Z$23="Alta",'Mapa final'!$AB$23="Menor"),CONCATENATE("R3C",'Mapa final'!$P$23),"")</f>
        <v/>
      </c>
      <c r="T18" s="25" t="str">
        <f>IF(AND('Mapa final'!$Z$24="Alta",'Mapa final'!$AB$24="Menor"),CONCATENATE("R3C",'Mapa final'!$P$24),"")</f>
        <v/>
      </c>
      <c r="U18" s="26" t="str">
        <f>IF(AND('Mapa final'!$Z$25="Alta",'Mapa final'!$AB$25="Menor"),CONCATENATE("R3C",'Mapa final'!$P$25),"")</f>
        <v/>
      </c>
      <c r="V18" s="9" t="str">
        <f>IF(AND('Mapa final'!$Z$20="Alta",'Mapa final'!$AB$20="Moderado"),CONCATENATE("R3C",'Mapa final'!$P$20),"")</f>
        <v/>
      </c>
      <c r="W18" s="10" t="str">
        <f>IF(AND('Mapa final'!$Z$21="Alta",'Mapa final'!$AB$21="Moderado"),CONCATENATE("R3C",'Mapa final'!$P$21),"")</f>
        <v/>
      </c>
      <c r="X18" s="10" t="str">
        <f>IF(AND('Mapa final'!$Z$22="Alta",'Mapa final'!$AB$22="Moderado"),CONCATENATE("R3C",'Mapa final'!$P$22),"")</f>
        <v/>
      </c>
      <c r="Y18" s="10" t="str">
        <f>IF(AND('Mapa final'!$Z$23="Alta",'Mapa final'!$AB$23="Moderado"),CONCATENATE("R3C",'Mapa final'!$P$23),"")</f>
        <v/>
      </c>
      <c r="Z18" s="10" t="str">
        <f>IF(AND('Mapa final'!$Z$24="Alta",'Mapa final'!$AB$24="Moderado"),CONCATENATE("R3C",'Mapa final'!$P$24),"")</f>
        <v/>
      </c>
      <c r="AA18" s="11" t="str">
        <f>IF(AND('Mapa final'!$Z$25="Alta",'Mapa final'!$AB$25="Moderado"),CONCATENATE("R3C",'Mapa final'!$P$25),"")</f>
        <v/>
      </c>
      <c r="AB18" s="9" t="str">
        <f>IF(AND('Mapa final'!$Z$20="Alta",'Mapa final'!$AB$20="Mayor"),CONCATENATE("R3C",'Mapa final'!$P$20),"")</f>
        <v/>
      </c>
      <c r="AC18" s="10" t="str">
        <f>IF(AND('Mapa final'!$Z$21="Alta",'Mapa final'!$AB$21="Mayor"),CONCATENATE("R3C",'Mapa final'!$P$21),"")</f>
        <v/>
      </c>
      <c r="AD18" s="10" t="str">
        <f>IF(AND('Mapa final'!$Z$22="Alta",'Mapa final'!$AB$22="Mayor"),CONCATENATE("R3C",'Mapa final'!$P$22),"")</f>
        <v/>
      </c>
      <c r="AE18" s="10" t="str">
        <f>IF(AND('Mapa final'!$Z$23="Alta",'Mapa final'!$AB$23="Mayor"),CONCATENATE("R3C",'Mapa final'!$P$23),"")</f>
        <v/>
      </c>
      <c r="AF18" s="10" t="str">
        <f>IF(AND('Mapa final'!$Z$24="Alta",'Mapa final'!$AB$24="Mayor"),CONCATENATE("R3C",'Mapa final'!$P$24),"")</f>
        <v/>
      </c>
      <c r="AG18" s="11" t="str">
        <f>IF(AND('Mapa final'!$Z$25="Alta",'Mapa final'!$AB$25="Mayor"),CONCATENATE("R3C",'Mapa final'!$P$25),"")</f>
        <v/>
      </c>
      <c r="AH18" s="12" t="str">
        <f>IF(AND('Mapa final'!$Z$20="Alta",'Mapa final'!$AB$20="Catastrófico"),CONCATENATE("R3C",'Mapa final'!$P$20),"")</f>
        <v/>
      </c>
      <c r="AI18" s="13" t="str">
        <f>IF(AND('Mapa final'!$Z$21="Alta",'Mapa final'!$AB$21="Catastrófico"),CONCATENATE("R3C",'Mapa final'!$P$21),"")</f>
        <v/>
      </c>
      <c r="AJ18" s="13" t="str">
        <f>IF(AND('Mapa final'!$Z$22="Alta",'Mapa final'!$AB$22="Catastrófico"),CONCATENATE("R3C",'Mapa final'!$P$22),"")</f>
        <v/>
      </c>
      <c r="AK18" s="13" t="str">
        <f>IF(AND('Mapa final'!$Z$23="Alta",'Mapa final'!$AB$23="Catastrófico"),CONCATENATE("R3C",'Mapa final'!$P$23),"")</f>
        <v/>
      </c>
      <c r="AL18" s="13" t="str">
        <f>IF(AND('Mapa final'!$Z$24="Alta",'Mapa final'!$AB$24="Catastrófico"),CONCATENATE("R3C",'Mapa final'!$P$24),"")</f>
        <v/>
      </c>
      <c r="AM18" s="14" t="str">
        <f>IF(AND('Mapa final'!$Z$25="Alta",'Mapa final'!$AB$25="Catastrófico"),CONCATENATE("R3C",'Mapa final'!$P$25),"")</f>
        <v/>
      </c>
      <c r="AN18" s="40"/>
      <c r="AO18" s="315"/>
      <c r="AP18" s="316"/>
      <c r="AQ18" s="316"/>
      <c r="AR18" s="316"/>
      <c r="AS18" s="316"/>
      <c r="AT18" s="317"/>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row>
    <row r="19" spans="1:76" ht="15" customHeight="1" x14ac:dyDescent="0.25">
      <c r="A19" s="40"/>
      <c r="B19" s="264"/>
      <c r="C19" s="264"/>
      <c r="D19" s="265"/>
      <c r="E19" s="305"/>
      <c r="F19" s="306"/>
      <c r="G19" s="306"/>
      <c r="H19" s="306"/>
      <c r="I19" s="306"/>
      <c r="J19" s="24" t="str">
        <f>IF(AND('Mapa final'!$Z$26="Alta",'Mapa final'!$AB$26="Leve"),CONCATENATE("R4C",'Mapa final'!$P$26),"")</f>
        <v/>
      </c>
      <c r="K19" s="25" t="str">
        <f>IF(AND('Mapa final'!$Z$27="Alta",'Mapa final'!$AB$27="Leve"),CONCATENATE("R4C",'Mapa final'!$P$27),"")</f>
        <v/>
      </c>
      <c r="L19" s="25" t="str">
        <f>IF(AND('Mapa final'!$Z$28="Alta",'Mapa final'!$AB$28="Leve"),CONCATENATE("R4C",'Mapa final'!$P$28),"")</f>
        <v/>
      </c>
      <c r="M19" s="25" t="str">
        <f>IF(AND('Mapa final'!$Z$29="Alta",'Mapa final'!$AB$29="Leve"),CONCATENATE("R4C",'Mapa final'!$P$29),"")</f>
        <v/>
      </c>
      <c r="N19" s="25" t="str">
        <f>IF(AND('Mapa final'!$Z$30="Alta",'Mapa final'!$AB$30="Leve"),CONCATENATE("R4C",'Mapa final'!$P$30),"")</f>
        <v/>
      </c>
      <c r="O19" s="26" t="str">
        <f>IF(AND('Mapa final'!$Z$31="Alta",'Mapa final'!$AB$31="Leve"),CONCATENATE("R4C",'Mapa final'!$P$31),"")</f>
        <v/>
      </c>
      <c r="P19" s="24" t="str">
        <f>IF(AND('Mapa final'!$Z$26="Alta",'Mapa final'!$AB$26="Menor"),CONCATENATE("R4C",'Mapa final'!$P$26),"")</f>
        <v/>
      </c>
      <c r="Q19" s="25" t="str">
        <f>IF(AND('Mapa final'!$Z$27="Alta",'Mapa final'!$AB$27="Menor"),CONCATENATE("R4C",'Mapa final'!$P$27),"")</f>
        <v/>
      </c>
      <c r="R19" s="25" t="str">
        <f>IF(AND('Mapa final'!$Z$28="Alta",'Mapa final'!$AB$28="Menor"),CONCATENATE("R4C",'Mapa final'!$P$28),"")</f>
        <v/>
      </c>
      <c r="S19" s="25" t="str">
        <f>IF(AND('Mapa final'!$Z$29="Alta",'Mapa final'!$AB$29="Menor"),CONCATENATE("R4C",'Mapa final'!$P$29),"")</f>
        <v/>
      </c>
      <c r="T19" s="25" t="str">
        <f>IF(AND('Mapa final'!$Z$30="Alta",'Mapa final'!$AB$30="Menor"),CONCATENATE("R4C",'Mapa final'!$P$30),"")</f>
        <v/>
      </c>
      <c r="U19" s="26" t="str">
        <f>IF(AND('Mapa final'!$Z$31="Alta",'Mapa final'!$AB$31="Menor"),CONCATENATE("R4C",'Mapa final'!$P$31),"")</f>
        <v/>
      </c>
      <c r="V19" s="9" t="str">
        <f>IF(AND('Mapa final'!$Z$26="Alta",'Mapa final'!$AB$26="Moderado"),CONCATENATE("R4C",'Mapa final'!$P$26),"")</f>
        <v/>
      </c>
      <c r="W19" s="10" t="str">
        <f>IF(AND('Mapa final'!$Z$27="Alta",'Mapa final'!$AB$27="Moderado"),CONCATENATE("R4C",'Mapa final'!$P$27),"")</f>
        <v/>
      </c>
      <c r="X19" s="10" t="str">
        <f>IF(AND('Mapa final'!$Z$28="Alta",'Mapa final'!$AB$28="Moderado"),CONCATENATE("R4C",'Mapa final'!$P$28),"")</f>
        <v/>
      </c>
      <c r="Y19" s="10" t="str">
        <f>IF(AND('Mapa final'!$Z$29="Alta",'Mapa final'!$AB$29="Moderado"),CONCATENATE("R4C",'Mapa final'!$P$29),"")</f>
        <v/>
      </c>
      <c r="Z19" s="10" t="str">
        <f>IF(AND('Mapa final'!$Z$30="Alta",'Mapa final'!$AB$30="Moderado"),CONCATENATE("R4C",'Mapa final'!$P$30),"")</f>
        <v/>
      </c>
      <c r="AA19" s="11" t="str">
        <f>IF(AND('Mapa final'!$Z$31="Alta",'Mapa final'!$AB$31="Moderado"),CONCATENATE("R4C",'Mapa final'!$P$31),"")</f>
        <v/>
      </c>
      <c r="AB19" s="9" t="str">
        <f>IF(AND('Mapa final'!$Z$26="Alta",'Mapa final'!$AB$26="Mayor"),CONCATENATE("R4C",'Mapa final'!$P$26),"")</f>
        <v/>
      </c>
      <c r="AC19" s="10" t="str">
        <f>IF(AND('Mapa final'!$Z$27="Alta",'Mapa final'!$AB$27="Mayor"),CONCATENATE("R4C",'Mapa final'!$P$27),"")</f>
        <v/>
      </c>
      <c r="AD19" s="10" t="str">
        <f>IF(AND('Mapa final'!$Z$28="Alta",'Mapa final'!$AB$28="Mayor"),CONCATENATE("R4C",'Mapa final'!$P$28),"")</f>
        <v/>
      </c>
      <c r="AE19" s="10" t="str">
        <f>IF(AND('Mapa final'!$Z$29="Alta",'Mapa final'!$AB$29="Mayor"),CONCATENATE("R4C",'Mapa final'!$P$29),"")</f>
        <v/>
      </c>
      <c r="AF19" s="10" t="str">
        <f>IF(AND('Mapa final'!$Z$30="Alta",'Mapa final'!$AB$30="Mayor"),CONCATENATE("R4C",'Mapa final'!$P$30),"")</f>
        <v/>
      </c>
      <c r="AG19" s="11" t="str">
        <f>IF(AND('Mapa final'!$Z$31="Alta",'Mapa final'!$AB$31="Mayor"),CONCATENATE("R4C",'Mapa final'!$P$31),"")</f>
        <v/>
      </c>
      <c r="AH19" s="12" t="str">
        <f>IF(AND('Mapa final'!$Z$26="Alta",'Mapa final'!$AB$26="Catastrófico"),CONCATENATE("R4C",'Mapa final'!$P$26),"")</f>
        <v/>
      </c>
      <c r="AI19" s="13" t="str">
        <f>IF(AND('Mapa final'!$Z$27="Alta",'Mapa final'!$AB$27="Catastrófico"),CONCATENATE("R4C",'Mapa final'!$P$27),"")</f>
        <v/>
      </c>
      <c r="AJ19" s="13" t="str">
        <f>IF(AND('Mapa final'!$Z$28="Alta",'Mapa final'!$AB$28="Catastrófico"),CONCATENATE("R4C",'Mapa final'!$P$28),"")</f>
        <v/>
      </c>
      <c r="AK19" s="13" t="str">
        <f>IF(AND('Mapa final'!$Z$29="Alta",'Mapa final'!$AB$29="Catastrófico"),CONCATENATE("R4C",'Mapa final'!$P$29),"")</f>
        <v/>
      </c>
      <c r="AL19" s="13" t="str">
        <f>IF(AND('Mapa final'!$Z$30="Alta",'Mapa final'!$AB$30="Catastrófico"),CONCATENATE("R4C",'Mapa final'!$P$30),"")</f>
        <v/>
      </c>
      <c r="AM19" s="14" t="str">
        <f>IF(AND('Mapa final'!$Z$31="Alta",'Mapa final'!$AB$31="Catastrófico"),CONCATENATE("R4C",'Mapa final'!$P$31),"")</f>
        <v/>
      </c>
      <c r="AN19" s="40"/>
      <c r="AO19" s="315"/>
      <c r="AP19" s="316"/>
      <c r="AQ19" s="316"/>
      <c r="AR19" s="316"/>
      <c r="AS19" s="316"/>
      <c r="AT19" s="317"/>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row>
    <row r="20" spans="1:76" ht="15" customHeight="1" x14ac:dyDescent="0.25">
      <c r="A20" s="40"/>
      <c r="B20" s="264"/>
      <c r="C20" s="264"/>
      <c r="D20" s="265"/>
      <c r="E20" s="305"/>
      <c r="F20" s="306"/>
      <c r="G20" s="306"/>
      <c r="H20" s="306"/>
      <c r="I20" s="306"/>
      <c r="J20" s="24" t="str">
        <f>IF(AND('Mapa final'!$Z$32="Alta",'Mapa final'!$AB$32="Leve"),CONCATENATE("R5C",'Mapa final'!$P$32),"")</f>
        <v/>
      </c>
      <c r="K20" s="25" t="str">
        <f>IF(AND('Mapa final'!$Z$33="Alta",'Mapa final'!$AB$33="Leve"),CONCATENATE("R5C",'Mapa final'!$P$33),"")</f>
        <v/>
      </c>
      <c r="L20" s="25" t="str">
        <f>IF(AND('Mapa final'!$Z$34="Alta",'Mapa final'!$AB$34="Leve"),CONCATENATE("R5C",'Mapa final'!$P$34),"")</f>
        <v/>
      </c>
      <c r="M20" s="25" t="str">
        <f>IF(AND('Mapa final'!$Z$35="Alta",'Mapa final'!$AB$35="Leve"),CONCATENATE("R5C",'Mapa final'!$P$35),"")</f>
        <v/>
      </c>
      <c r="N20" s="25" t="str">
        <f>IF(AND('Mapa final'!$Z$36="Alta",'Mapa final'!$AB$36="Leve"),CONCATENATE("R5C",'Mapa final'!$P$36),"")</f>
        <v/>
      </c>
      <c r="O20" s="26" t="str">
        <f>IF(AND('Mapa final'!$Z$37="Alta",'Mapa final'!$AB$37="Leve"),CONCATENATE("R5C",'Mapa final'!$P$37),"")</f>
        <v/>
      </c>
      <c r="P20" s="24" t="str">
        <f>IF(AND('Mapa final'!$Z$32="Alta",'Mapa final'!$AB$32="Menor"),CONCATENATE("R5C",'Mapa final'!$P$32),"")</f>
        <v/>
      </c>
      <c r="Q20" s="25" t="str">
        <f>IF(AND('Mapa final'!$Z$33="Alta",'Mapa final'!$AB$33="Menor"),CONCATENATE("R5C",'Mapa final'!$P$33),"")</f>
        <v/>
      </c>
      <c r="R20" s="25" t="str">
        <f>IF(AND('Mapa final'!$Z$34="Alta",'Mapa final'!$AB$34="Menor"),CONCATENATE("R5C",'Mapa final'!$P$34),"")</f>
        <v/>
      </c>
      <c r="S20" s="25" t="str">
        <f>IF(AND('Mapa final'!$Z$35="Alta",'Mapa final'!$AB$35="Menor"),CONCATENATE("R5C",'Mapa final'!$P$35),"")</f>
        <v/>
      </c>
      <c r="T20" s="25" t="str">
        <f>IF(AND('Mapa final'!$Z$36="Alta",'Mapa final'!$AB$36="Menor"),CONCATENATE("R5C",'Mapa final'!$P$36),"")</f>
        <v/>
      </c>
      <c r="U20" s="26" t="str">
        <f>IF(AND('Mapa final'!$Z$37="Alta",'Mapa final'!$AB$37="Menor"),CONCATENATE("R5C",'Mapa final'!$P$37),"")</f>
        <v/>
      </c>
      <c r="V20" s="9" t="str">
        <f>IF(AND('Mapa final'!$Z$32="Alta",'Mapa final'!$AB$32="Moderado"),CONCATENATE("R5C",'Mapa final'!$P$32),"")</f>
        <v/>
      </c>
      <c r="W20" s="10" t="str">
        <f>IF(AND('Mapa final'!$Z$33="Alta",'Mapa final'!$AB$33="Moderado"),CONCATENATE("R5C",'Mapa final'!$P$33),"")</f>
        <v/>
      </c>
      <c r="X20" s="10" t="str">
        <f>IF(AND('Mapa final'!$Z$34="Alta",'Mapa final'!$AB$34="Moderado"),CONCATENATE("R5C",'Mapa final'!$P$34),"")</f>
        <v/>
      </c>
      <c r="Y20" s="10" t="str">
        <f>IF(AND('Mapa final'!$Z$35="Alta",'Mapa final'!$AB$35="Moderado"),CONCATENATE("R5C",'Mapa final'!$P$35),"")</f>
        <v/>
      </c>
      <c r="Z20" s="10" t="str">
        <f>IF(AND('Mapa final'!$Z$36="Alta",'Mapa final'!$AB$36="Moderado"),CONCATENATE("R5C",'Mapa final'!$P$36),"")</f>
        <v/>
      </c>
      <c r="AA20" s="11" t="str">
        <f>IF(AND('Mapa final'!$Z$37="Alta",'Mapa final'!$AB$37="Moderado"),CONCATENATE("R5C",'Mapa final'!$P$37),"")</f>
        <v/>
      </c>
      <c r="AB20" s="9" t="str">
        <f>IF(AND('Mapa final'!$Z$32="Alta",'Mapa final'!$AB$32="Mayor"),CONCATENATE("R5C",'Mapa final'!$P$32),"")</f>
        <v/>
      </c>
      <c r="AC20" s="10" t="str">
        <f>IF(AND('Mapa final'!$Z$33="Alta",'Mapa final'!$AB$33="Mayor"),CONCATENATE("R5C",'Mapa final'!$P$33),"")</f>
        <v/>
      </c>
      <c r="AD20" s="10" t="str">
        <f>IF(AND('Mapa final'!$Z$34="Alta",'Mapa final'!$AB$34="Mayor"),CONCATENATE("R5C",'Mapa final'!$P$34),"")</f>
        <v/>
      </c>
      <c r="AE20" s="10" t="str">
        <f>IF(AND('Mapa final'!$Z$35="Alta",'Mapa final'!$AB$35="Mayor"),CONCATENATE("R5C",'Mapa final'!$P$35),"")</f>
        <v/>
      </c>
      <c r="AF20" s="10" t="str">
        <f>IF(AND('Mapa final'!$Z$36="Alta",'Mapa final'!$AB$36="Mayor"),CONCATENATE("R5C",'Mapa final'!$P$36),"")</f>
        <v/>
      </c>
      <c r="AG20" s="11" t="str">
        <f>IF(AND('Mapa final'!$Z$37="Alta",'Mapa final'!$AB$37="Mayor"),CONCATENATE("R5C",'Mapa final'!$P$37),"")</f>
        <v/>
      </c>
      <c r="AH20" s="12" t="str">
        <f>IF(AND('Mapa final'!$Z$32="Alta",'Mapa final'!$AB$32="Catastrófico"),CONCATENATE("R5C",'Mapa final'!$P$32),"")</f>
        <v/>
      </c>
      <c r="AI20" s="13" t="str">
        <f>IF(AND('Mapa final'!$Z$33="Alta",'Mapa final'!$AB$33="Catastrófico"),CONCATENATE("R5C",'Mapa final'!$P$33),"")</f>
        <v/>
      </c>
      <c r="AJ20" s="13" t="str">
        <f>IF(AND('Mapa final'!$Z$34="Alta",'Mapa final'!$AB$34="Catastrófico"),CONCATENATE("R5C",'Mapa final'!$P$34),"")</f>
        <v/>
      </c>
      <c r="AK20" s="13" t="str">
        <f>IF(AND('Mapa final'!$Z$35="Alta",'Mapa final'!$AB$35="Catastrófico"),CONCATENATE("R5C",'Mapa final'!$P$35),"")</f>
        <v/>
      </c>
      <c r="AL20" s="13" t="str">
        <f>IF(AND('Mapa final'!$Z$36="Alta",'Mapa final'!$AB$36="Catastrófico"),CONCATENATE("R5C",'Mapa final'!$P$36),"")</f>
        <v/>
      </c>
      <c r="AM20" s="14" t="str">
        <f>IF(AND('Mapa final'!$Z$37="Alta",'Mapa final'!$AB$37="Catastrófico"),CONCATENATE("R5C",'Mapa final'!$P$37),"")</f>
        <v/>
      </c>
      <c r="AN20" s="40"/>
      <c r="AO20" s="315"/>
      <c r="AP20" s="316"/>
      <c r="AQ20" s="316"/>
      <c r="AR20" s="316"/>
      <c r="AS20" s="316"/>
      <c r="AT20" s="317"/>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row>
    <row r="21" spans="1:76" ht="15" customHeight="1" x14ac:dyDescent="0.25">
      <c r="A21" s="40"/>
      <c r="B21" s="264"/>
      <c r="C21" s="264"/>
      <c r="D21" s="265"/>
      <c r="E21" s="305"/>
      <c r="F21" s="306"/>
      <c r="G21" s="306"/>
      <c r="H21" s="306"/>
      <c r="I21" s="306"/>
      <c r="J21" s="24" t="str">
        <f>IF(AND('Mapa final'!$Z$38="Alta",'Mapa final'!$AB$38="Leve"),CONCATENATE("R6C",'Mapa final'!$P$38),"")</f>
        <v/>
      </c>
      <c r="K21" s="25" t="str">
        <f>IF(AND('Mapa final'!$Z$39="Alta",'Mapa final'!$AB$39="Leve"),CONCATENATE("R6C",'Mapa final'!$P$39),"")</f>
        <v/>
      </c>
      <c r="L21" s="25" t="str">
        <f>IF(AND('Mapa final'!$Z$40="Alta",'Mapa final'!$AB$40="Leve"),CONCATENATE("R6C",'Mapa final'!$P$40),"")</f>
        <v/>
      </c>
      <c r="M21" s="25" t="str">
        <f>IF(AND('Mapa final'!$Z$41="Alta",'Mapa final'!$AB$41="Leve"),CONCATENATE("R6C",'Mapa final'!$P$41),"")</f>
        <v/>
      </c>
      <c r="N21" s="25" t="str">
        <f>IF(AND('Mapa final'!$Z$42="Alta",'Mapa final'!$AB$42="Leve"),CONCATENATE("R6C",'Mapa final'!$P$42),"")</f>
        <v/>
      </c>
      <c r="O21" s="26" t="str">
        <f>IF(AND('Mapa final'!$Z$43="Alta",'Mapa final'!$AB$43="Leve"),CONCATENATE("R6C",'Mapa final'!$P$43),"")</f>
        <v/>
      </c>
      <c r="P21" s="24" t="str">
        <f>IF(AND('Mapa final'!$Z$38="Alta",'Mapa final'!$AB$38="Menor"),CONCATENATE("R6C",'Mapa final'!$P$38),"")</f>
        <v/>
      </c>
      <c r="Q21" s="25" t="str">
        <f>IF(AND('Mapa final'!$Z$39="Alta",'Mapa final'!$AB$39="Menor"),CONCATENATE("R6C",'Mapa final'!$P$39),"")</f>
        <v/>
      </c>
      <c r="R21" s="25" t="str">
        <f>IF(AND('Mapa final'!$Z$40="Alta",'Mapa final'!$AB$40="Menor"),CONCATENATE("R6C",'Mapa final'!$P$40),"")</f>
        <v/>
      </c>
      <c r="S21" s="25" t="str">
        <f>IF(AND('Mapa final'!$Z$41="Alta",'Mapa final'!$AB$41="Menor"),CONCATENATE("R6C",'Mapa final'!$P$41),"")</f>
        <v/>
      </c>
      <c r="T21" s="25" t="str">
        <f>IF(AND('Mapa final'!$Z$42="Alta",'Mapa final'!$AB$42="Menor"),CONCATENATE("R6C",'Mapa final'!$P$42),"")</f>
        <v/>
      </c>
      <c r="U21" s="26" t="str">
        <f>IF(AND('Mapa final'!$Z$43="Alta",'Mapa final'!$AB$43="Menor"),CONCATENATE("R6C",'Mapa final'!$P$43),"")</f>
        <v/>
      </c>
      <c r="V21" s="9" t="str">
        <f>IF(AND('Mapa final'!$Z$38="Alta",'Mapa final'!$AB$38="Moderado"),CONCATENATE("R6C",'Mapa final'!$P$38),"")</f>
        <v/>
      </c>
      <c r="W21" s="10" t="str">
        <f>IF(AND('Mapa final'!$Z$39="Alta",'Mapa final'!$AB$39="Moderado"),CONCATENATE("R6C",'Mapa final'!$P$39),"")</f>
        <v/>
      </c>
      <c r="X21" s="10" t="str">
        <f>IF(AND('Mapa final'!$Z$40="Alta",'Mapa final'!$AB$40="Moderado"),CONCATENATE("R6C",'Mapa final'!$P$40),"")</f>
        <v/>
      </c>
      <c r="Y21" s="10" t="str">
        <f>IF(AND('Mapa final'!$Z$41="Alta",'Mapa final'!$AB$41="Moderado"),CONCATENATE("R6C",'Mapa final'!$P$41),"")</f>
        <v/>
      </c>
      <c r="Z21" s="10" t="str">
        <f>IF(AND('Mapa final'!$Z$42="Alta",'Mapa final'!$AB$42="Moderado"),CONCATENATE("R6C",'Mapa final'!$P$42),"")</f>
        <v/>
      </c>
      <c r="AA21" s="11" t="str">
        <f>IF(AND('Mapa final'!$Z$43="Alta",'Mapa final'!$AB$43="Moderado"),CONCATENATE("R6C",'Mapa final'!$P$43),"")</f>
        <v/>
      </c>
      <c r="AB21" s="9" t="str">
        <f>IF(AND('Mapa final'!$Z$38="Alta",'Mapa final'!$AB$38="Mayor"),CONCATENATE("R6C",'Mapa final'!$P$38),"")</f>
        <v/>
      </c>
      <c r="AC21" s="10" t="str">
        <f>IF(AND('Mapa final'!$Z$39="Alta",'Mapa final'!$AB$39="Mayor"),CONCATENATE("R6C",'Mapa final'!$P$39),"")</f>
        <v/>
      </c>
      <c r="AD21" s="10" t="str">
        <f>IF(AND('Mapa final'!$Z$40="Alta",'Mapa final'!$AB$40="Mayor"),CONCATENATE("R6C",'Mapa final'!$P$40),"")</f>
        <v/>
      </c>
      <c r="AE21" s="10" t="str">
        <f>IF(AND('Mapa final'!$Z$41="Alta",'Mapa final'!$AB$41="Mayor"),CONCATENATE("R6C",'Mapa final'!$P$41),"")</f>
        <v/>
      </c>
      <c r="AF21" s="10" t="str">
        <f>IF(AND('Mapa final'!$Z$42="Alta",'Mapa final'!$AB$42="Mayor"),CONCATENATE("R6C",'Mapa final'!$P$42),"")</f>
        <v/>
      </c>
      <c r="AG21" s="11" t="str">
        <f>IF(AND('Mapa final'!$Z$43="Alta",'Mapa final'!$AB$43="Mayor"),CONCATENATE("R6C",'Mapa final'!$P$43),"")</f>
        <v/>
      </c>
      <c r="AH21" s="12" t="str">
        <f>IF(AND('Mapa final'!$Z$38="Alta",'Mapa final'!$AB$38="Catastrófico"),CONCATENATE("R6C",'Mapa final'!$P$38),"")</f>
        <v/>
      </c>
      <c r="AI21" s="13" t="str">
        <f>IF(AND('Mapa final'!$Z$39="Alta",'Mapa final'!$AB$39="Catastrófico"),CONCATENATE("R6C",'Mapa final'!$P$39),"")</f>
        <v/>
      </c>
      <c r="AJ21" s="13" t="str">
        <f>IF(AND('Mapa final'!$Z$40="Alta",'Mapa final'!$AB$40="Catastrófico"),CONCATENATE("R6C",'Mapa final'!$P$40),"")</f>
        <v/>
      </c>
      <c r="AK21" s="13" t="str">
        <f>IF(AND('Mapa final'!$Z$41="Alta",'Mapa final'!$AB$41="Catastrófico"),CONCATENATE("R6C",'Mapa final'!$P$41),"")</f>
        <v/>
      </c>
      <c r="AL21" s="13" t="str">
        <f>IF(AND('Mapa final'!$Z$42="Alta",'Mapa final'!$AB$42="Catastrófico"),CONCATENATE("R6C",'Mapa final'!$P$42),"")</f>
        <v/>
      </c>
      <c r="AM21" s="14" t="str">
        <f>IF(AND('Mapa final'!$Z$43="Alta",'Mapa final'!$AB$43="Catastrófico"),CONCATENATE("R6C",'Mapa final'!$P$43),"")</f>
        <v/>
      </c>
      <c r="AN21" s="40"/>
      <c r="AO21" s="315"/>
      <c r="AP21" s="316"/>
      <c r="AQ21" s="316"/>
      <c r="AR21" s="316"/>
      <c r="AS21" s="316"/>
      <c r="AT21" s="317"/>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row>
    <row r="22" spans="1:76" ht="15" customHeight="1" x14ac:dyDescent="0.25">
      <c r="A22" s="40"/>
      <c r="B22" s="264"/>
      <c r="C22" s="264"/>
      <c r="D22" s="265"/>
      <c r="E22" s="305"/>
      <c r="F22" s="306"/>
      <c r="G22" s="306"/>
      <c r="H22" s="306"/>
      <c r="I22" s="306"/>
      <c r="J22" s="24" t="str">
        <f>IF(AND('Mapa final'!$Z$44="Alta",'Mapa final'!$AB$44="Leve"),CONCATENATE("R7C",'Mapa final'!$P$44),"")</f>
        <v/>
      </c>
      <c r="K22" s="25" t="str">
        <f>IF(AND('Mapa final'!$Z$45="Alta",'Mapa final'!$AB$45="Leve"),CONCATENATE("R7C",'Mapa final'!$P$45),"")</f>
        <v/>
      </c>
      <c r="L22" s="25" t="str">
        <f>IF(AND('Mapa final'!$Z$46="Alta",'Mapa final'!$AB$46="Leve"),CONCATENATE("R7C",'Mapa final'!$P$46),"")</f>
        <v/>
      </c>
      <c r="M22" s="25" t="str">
        <f>IF(AND('Mapa final'!$Z$47="Alta",'Mapa final'!$AB$47="Leve"),CONCATENATE("R7C",'Mapa final'!$P$47),"")</f>
        <v/>
      </c>
      <c r="N22" s="25" t="str">
        <f>IF(AND('Mapa final'!$Z$48="Alta",'Mapa final'!$AB$48="Leve"),CONCATENATE("R7C",'Mapa final'!$P$48),"")</f>
        <v/>
      </c>
      <c r="O22" s="26" t="str">
        <f>IF(AND('Mapa final'!$Z$49="Alta",'Mapa final'!$AB$49="Leve"),CONCATENATE("R7C",'Mapa final'!$P$49),"")</f>
        <v/>
      </c>
      <c r="P22" s="24" t="str">
        <f>IF(AND('Mapa final'!$Z$44="Alta",'Mapa final'!$AB$44="Menor"),CONCATENATE("R7C",'Mapa final'!$P$44),"")</f>
        <v/>
      </c>
      <c r="Q22" s="25" t="str">
        <f>IF(AND('Mapa final'!$Z$45="Alta",'Mapa final'!$AB$45="Menor"),CONCATENATE("R7C",'Mapa final'!$P$45),"")</f>
        <v/>
      </c>
      <c r="R22" s="25" t="str">
        <f>IF(AND('Mapa final'!$Z$46="Alta",'Mapa final'!$AB$46="Menor"),CONCATENATE("R7C",'Mapa final'!$P$46),"")</f>
        <v/>
      </c>
      <c r="S22" s="25" t="str">
        <f>IF(AND('Mapa final'!$Z$47="Alta",'Mapa final'!$AB$47="Menor"),CONCATENATE("R7C",'Mapa final'!$P$47),"")</f>
        <v/>
      </c>
      <c r="T22" s="25" t="str">
        <f>IF(AND('Mapa final'!$Z$48="Alta",'Mapa final'!$AB$48="Menor"),CONCATENATE("R7C",'Mapa final'!$P$48),"")</f>
        <v/>
      </c>
      <c r="U22" s="26" t="str">
        <f>IF(AND('Mapa final'!$Z$49="Alta",'Mapa final'!$AB$49="Menor"),CONCATENATE("R7C",'Mapa final'!$P$49),"")</f>
        <v/>
      </c>
      <c r="V22" s="9" t="str">
        <f>IF(AND('Mapa final'!$Z$44="Alta",'Mapa final'!$AB$44="Moderado"),CONCATENATE("R7C",'Mapa final'!$P$44),"")</f>
        <v/>
      </c>
      <c r="W22" s="10" t="str">
        <f>IF(AND('Mapa final'!$Z$45="Alta",'Mapa final'!$AB$45="Moderado"),CONCATENATE("R7C",'Mapa final'!$P$45),"")</f>
        <v/>
      </c>
      <c r="X22" s="10" t="str">
        <f>IF(AND('Mapa final'!$Z$46="Alta",'Mapa final'!$AB$46="Moderado"),CONCATENATE("R7C",'Mapa final'!$P$46),"")</f>
        <v/>
      </c>
      <c r="Y22" s="10" t="str">
        <f>IF(AND('Mapa final'!$Z$47="Alta",'Mapa final'!$AB$47="Moderado"),CONCATENATE("R7C",'Mapa final'!$P$47),"")</f>
        <v/>
      </c>
      <c r="Z22" s="10" t="str">
        <f>IF(AND('Mapa final'!$Z$48="Alta",'Mapa final'!$AB$48="Moderado"),CONCATENATE("R7C",'Mapa final'!$P$48),"")</f>
        <v/>
      </c>
      <c r="AA22" s="11" t="str">
        <f>IF(AND('Mapa final'!$Z$49="Alta",'Mapa final'!$AB$49="Moderado"),CONCATENATE("R7C",'Mapa final'!$P$49),"")</f>
        <v/>
      </c>
      <c r="AB22" s="9" t="str">
        <f>IF(AND('Mapa final'!$Z$44="Alta",'Mapa final'!$AB$44="Mayor"),CONCATENATE("R7C",'Mapa final'!$P$44),"")</f>
        <v/>
      </c>
      <c r="AC22" s="10" t="str">
        <f>IF(AND('Mapa final'!$Z$45="Alta",'Mapa final'!$AB$45="Mayor"),CONCATENATE("R7C",'Mapa final'!$P$45),"")</f>
        <v/>
      </c>
      <c r="AD22" s="10" t="str">
        <f>IF(AND('Mapa final'!$Z$46="Alta",'Mapa final'!$AB$46="Mayor"),CONCATENATE("R7C",'Mapa final'!$P$46),"")</f>
        <v/>
      </c>
      <c r="AE22" s="10" t="str">
        <f>IF(AND('Mapa final'!$Z$47="Alta",'Mapa final'!$AB$47="Mayor"),CONCATENATE("R7C",'Mapa final'!$P$47),"")</f>
        <v/>
      </c>
      <c r="AF22" s="10" t="str">
        <f>IF(AND('Mapa final'!$Z$48="Alta",'Mapa final'!$AB$48="Mayor"),CONCATENATE("R7C",'Mapa final'!$P$48),"")</f>
        <v/>
      </c>
      <c r="AG22" s="11" t="str">
        <f>IF(AND('Mapa final'!$Z$49="Alta",'Mapa final'!$AB$49="Mayor"),CONCATENATE("R7C",'Mapa final'!$P$49),"")</f>
        <v/>
      </c>
      <c r="AH22" s="12" t="str">
        <f>IF(AND('Mapa final'!$Z$44="Alta",'Mapa final'!$AB$44="Catastrófico"),CONCATENATE("R7C",'Mapa final'!$P$44),"")</f>
        <v/>
      </c>
      <c r="AI22" s="13" t="str">
        <f>IF(AND('Mapa final'!$Z$45="Alta",'Mapa final'!$AB$45="Catastrófico"),CONCATENATE("R7C",'Mapa final'!$P$45),"")</f>
        <v/>
      </c>
      <c r="AJ22" s="13" t="str">
        <f>IF(AND('Mapa final'!$Z$46="Alta",'Mapa final'!$AB$46="Catastrófico"),CONCATENATE("R7C",'Mapa final'!$P$46),"")</f>
        <v/>
      </c>
      <c r="AK22" s="13" t="str">
        <f>IF(AND('Mapa final'!$Z$47="Alta",'Mapa final'!$AB$47="Catastrófico"),CONCATENATE("R7C",'Mapa final'!$P$47),"")</f>
        <v/>
      </c>
      <c r="AL22" s="13" t="str">
        <f>IF(AND('Mapa final'!$Z$48="Alta",'Mapa final'!$AB$48="Catastrófico"),CONCATENATE("R7C",'Mapa final'!$P$48),"")</f>
        <v/>
      </c>
      <c r="AM22" s="14" t="str">
        <f>IF(AND('Mapa final'!$Z$49="Alta",'Mapa final'!$AB$49="Catastrófico"),CONCATENATE("R7C",'Mapa final'!$P$49),"")</f>
        <v/>
      </c>
      <c r="AN22" s="40"/>
      <c r="AO22" s="315"/>
      <c r="AP22" s="316"/>
      <c r="AQ22" s="316"/>
      <c r="AR22" s="316"/>
      <c r="AS22" s="316"/>
      <c r="AT22" s="317"/>
      <c r="AU22" s="40"/>
      <c r="AV22" s="40"/>
      <c r="AW22" s="40"/>
      <c r="AX22" s="4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row>
    <row r="23" spans="1:76" ht="15" customHeight="1" x14ac:dyDescent="0.25">
      <c r="A23" s="40"/>
      <c r="B23" s="264"/>
      <c r="C23" s="264"/>
      <c r="D23" s="265"/>
      <c r="E23" s="305"/>
      <c r="F23" s="306"/>
      <c r="G23" s="306"/>
      <c r="H23" s="306"/>
      <c r="I23" s="306"/>
      <c r="J23" s="24" t="str">
        <f>IF(AND('Mapa final'!$Z$50="Alta",'Mapa final'!$AB$50="Leve"),CONCATENATE("R8C",'Mapa final'!$P$50),"")</f>
        <v/>
      </c>
      <c r="K23" s="25" t="str">
        <f>IF(AND('Mapa final'!$Z$51="Alta",'Mapa final'!$AB$51="Leve"),CONCATENATE("R8C",'Mapa final'!$P$51),"")</f>
        <v/>
      </c>
      <c r="L23" s="25" t="str">
        <f>IF(AND('Mapa final'!$Z$52="Alta",'Mapa final'!$AB$52="Leve"),CONCATENATE("R8C",'Mapa final'!$P$52),"")</f>
        <v/>
      </c>
      <c r="M23" s="25" t="str">
        <f>IF(AND('Mapa final'!$Z$53="Alta",'Mapa final'!$AB$53="Leve"),CONCATENATE("R8C",'Mapa final'!$P$53),"")</f>
        <v/>
      </c>
      <c r="N23" s="25" t="str">
        <f>IF(AND('Mapa final'!$Z$54="Alta",'Mapa final'!$AB$54="Leve"),CONCATENATE("R8C",'Mapa final'!$P$54),"")</f>
        <v/>
      </c>
      <c r="O23" s="26" t="str">
        <f>IF(AND('Mapa final'!$Z$55="Alta",'Mapa final'!$AB$55="Leve"),CONCATENATE("R8C",'Mapa final'!$P$55),"")</f>
        <v/>
      </c>
      <c r="P23" s="24" t="str">
        <f>IF(AND('Mapa final'!$Z$50="Alta",'Mapa final'!$AB$50="Menor"),CONCATENATE("R8C",'Mapa final'!$P$50),"")</f>
        <v/>
      </c>
      <c r="Q23" s="25" t="str">
        <f>IF(AND('Mapa final'!$Z$51="Alta",'Mapa final'!$AB$51="Menor"),CONCATENATE("R8C",'Mapa final'!$P$51),"")</f>
        <v/>
      </c>
      <c r="R23" s="25" t="str">
        <f>IF(AND('Mapa final'!$Z$52="Alta",'Mapa final'!$AB$52="Menor"),CONCATENATE("R8C",'Mapa final'!$P$52),"")</f>
        <v/>
      </c>
      <c r="S23" s="25" t="str">
        <f>IF(AND('Mapa final'!$Z$53="Alta",'Mapa final'!$AB$53="Menor"),CONCATENATE("R8C",'Mapa final'!$P$53),"")</f>
        <v/>
      </c>
      <c r="T23" s="25" t="str">
        <f>IF(AND('Mapa final'!$Z$54="Alta",'Mapa final'!$AB$54="Menor"),CONCATENATE("R8C",'Mapa final'!$P$54),"")</f>
        <v/>
      </c>
      <c r="U23" s="26" t="str">
        <f>IF(AND('Mapa final'!$Z$55="Alta",'Mapa final'!$AB$55="Menor"),CONCATENATE("R8C",'Mapa final'!$P$55),"")</f>
        <v/>
      </c>
      <c r="V23" s="9" t="str">
        <f>IF(AND('Mapa final'!$Z$50="Alta",'Mapa final'!$AB$50="Moderado"),CONCATENATE("R8C",'Mapa final'!$P$50),"")</f>
        <v/>
      </c>
      <c r="W23" s="10" t="str">
        <f>IF(AND('Mapa final'!$Z$51="Alta",'Mapa final'!$AB$51="Moderado"),CONCATENATE("R8C",'Mapa final'!$P$51),"")</f>
        <v/>
      </c>
      <c r="X23" s="10" t="str">
        <f>IF(AND('Mapa final'!$Z$52="Alta",'Mapa final'!$AB$52="Moderado"),CONCATENATE("R8C",'Mapa final'!$P$52),"")</f>
        <v/>
      </c>
      <c r="Y23" s="10" t="str">
        <f>IF(AND('Mapa final'!$Z$53="Alta",'Mapa final'!$AB$53="Moderado"),CONCATENATE("R8C",'Mapa final'!$P$53),"")</f>
        <v/>
      </c>
      <c r="Z23" s="10" t="str">
        <f>IF(AND('Mapa final'!$Z$54="Alta",'Mapa final'!$AB$54="Moderado"),CONCATENATE("R8C",'Mapa final'!$P$54),"")</f>
        <v/>
      </c>
      <c r="AA23" s="11" t="str">
        <f>IF(AND('Mapa final'!$Z$55="Alta",'Mapa final'!$AB$55="Moderado"),CONCATENATE("R8C",'Mapa final'!$P$55),"")</f>
        <v/>
      </c>
      <c r="AB23" s="9" t="str">
        <f>IF(AND('Mapa final'!$Z$50="Alta",'Mapa final'!$AB$50="Mayor"),CONCATENATE("R8C",'Mapa final'!$P$50),"")</f>
        <v/>
      </c>
      <c r="AC23" s="10" t="str">
        <f>IF(AND('Mapa final'!$Z$51="Alta",'Mapa final'!$AB$51="Mayor"),CONCATENATE("R8C",'Mapa final'!$P$51),"")</f>
        <v/>
      </c>
      <c r="AD23" s="10" t="str">
        <f>IF(AND('Mapa final'!$Z$52="Alta",'Mapa final'!$AB$52="Mayor"),CONCATENATE("R8C",'Mapa final'!$P$52),"")</f>
        <v/>
      </c>
      <c r="AE23" s="10" t="str">
        <f>IF(AND('Mapa final'!$Z$53="Alta",'Mapa final'!$AB$53="Mayor"),CONCATENATE("R8C",'Mapa final'!$P$53),"")</f>
        <v/>
      </c>
      <c r="AF23" s="10" t="str">
        <f>IF(AND('Mapa final'!$Z$54="Alta",'Mapa final'!$AB$54="Mayor"),CONCATENATE("R8C",'Mapa final'!$P$54),"")</f>
        <v/>
      </c>
      <c r="AG23" s="11" t="str">
        <f>IF(AND('Mapa final'!$Z$55="Alta",'Mapa final'!$AB$55="Mayor"),CONCATENATE("R8C",'Mapa final'!$P$55),"")</f>
        <v/>
      </c>
      <c r="AH23" s="12" t="str">
        <f>IF(AND('Mapa final'!$Z$50="Alta",'Mapa final'!$AB$50="Catastrófico"),CONCATENATE("R8C",'Mapa final'!$P$50),"")</f>
        <v/>
      </c>
      <c r="AI23" s="13" t="str">
        <f>IF(AND('Mapa final'!$Z$51="Alta",'Mapa final'!$AB$51="Catastrófico"),CONCATENATE("R8C",'Mapa final'!$P$51),"")</f>
        <v/>
      </c>
      <c r="AJ23" s="13" t="str">
        <f>IF(AND('Mapa final'!$Z$52="Alta",'Mapa final'!$AB$52="Catastrófico"),CONCATENATE("R8C",'Mapa final'!$P$52),"")</f>
        <v/>
      </c>
      <c r="AK23" s="13" t="str">
        <f>IF(AND('Mapa final'!$Z$53="Alta",'Mapa final'!$AB$53="Catastrófico"),CONCATENATE("R8C",'Mapa final'!$P$53),"")</f>
        <v/>
      </c>
      <c r="AL23" s="13" t="str">
        <f>IF(AND('Mapa final'!$Z$54="Alta",'Mapa final'!$AB$54="Catastrófico"),CONCATENATE("R8C",'Mapa final'!$P$54),"")</f>
        <v/>
      </c>
      <c r="AM23" s="14" t="str">
        <f>IF(AND('Mapa final'!$Z$55="Alta",'Mapa final'!$AB$55="Catastrófico"),CONCATENATE("R8C",'Mapa final'!$P$55),"")</f>
        <v/>
      </c>
      <c r="AN23" s="40"/>
      <c r="AO23" s="315"/>
      <c r="AP23" s="316"/>
      <c r="AQ23" s="316"/>
      <c r="AR23" s="316"/>
      <c r="AS23" s="316"/>
      <c r="AT23" s="317"/>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row>
    <row r="24" spans="1:76" ht="15" customHeight="1" x14ac:dyDescent="0.25">
      <c r="A24" s="40"/>
      <c r="B24" s="264"/>
      <c r="C24" s="264"/>
      <c r="D24" s="265"/>
      <c r="E24" s="305"/>
      <c r="F24" s="306"/>
      <c r="G24" s="306"/>
      <c r="H24" s="306"/>
      <c r="I24" s="306"/>
      <c r="J24" s="24" t="str">
        <f>IF(AND('Mapa final'!$Z$56="Alta",'Mapa final'!$AB$56="Leve"),CONCATENATE("R9C",'Mapa final'!$P$56),"")</f>
        <v/>
      </c>
      <c r="K24" s="25" t="str">
        <f>IF(AND('Mapa final'!$Z$57="Alta",'Mapa final'!$AB$57="Leve"),CONCATENATE("R9C",'Mapa final'!$P$57),"")</f>
        <v/>
      </c>
      <c r="L24" s="25" t="str">
        <f>IF(AND('Mapa final'!$Z$58="Alta",'Mapa final'!$AB$58="Leve"),CONCATENATE("R9C",'Mapa final'!$P$58),"")</f>
        <v/>
      </c>
      <c r="M24" s="25" t="str">
        <f>IF(AND('Mapa final'!$Z$59="Alta",'Mapa final'!$AB$59="Leve"),CONCATENATE("R9C",'Mapa final'!$P$59),"")</f>
        <v/>
      </c>
      <c r="N24" s="25" t="str">
        <f>IF(AND('Mapa final'!$Z$60="Alta",'Mapa final'!$AB$60="Leve"),CONCATENATE("R9C",'Mapa final'!$P$60),"")</f>
        <v/>
      </c>
      <c r="O24" s="26" t="str">
        <f>IF(AND('Mapa final'!$Z$61="Alta",'Mapa final'!$AB$61="Leve"),CONCATENATE("R9C",'Mapa final'!$P$61),"")</f>
        <v/>
      </c>
      <c r="P24" s="24" t="str">
        <f>IF(AND('Mapa final'!$Z$56="Alta",'Mapa final'!$AB$56="Menor"),CONCATENATE("R9C",'Mapa final'!$P$56),"")</f>
        <v/>
      </c>
      <c r="Q24" s="25" t="str">
        <f>IF(AND('Mapa final'!$Z$57="Alta",'Mapa final'!$AB$57="Menor"),CONCATENATE("R9C",'Mapa final'!$P$57),"")</f>
        <v/>
      </c>
      <c r="R24" s="25" t="str">
        <f>IF(AND('Mapa final'!$Z$58="Alta",'Mapa final'!$AB$58="Menor"),CONCATENATE("R9C",'Mapa final'!$P$58),"")</f>
        <v/>
      </c>
      <c r="S24" s="25" t="str">
        <f>IF(AND('Mapa final'!$Z$59="Alta",'Mapa final'!$AB$59="Menor"),CONCATENATE("R9C",'Mapa final'!$P$59),"")</f>
        <v/>
      </c>
      <c r="T24" s="25" t="str">
        <f>IF(AND('Mapa final'!$Z$60="Alta",'Mapa final'!$AB$60="Menor"),CONCATENATE("R9C",'Mapa final'!$P$60),"")</f>
        <v/>
      </c>
      <c r="U24" s="26" t="str">
        <f>IF(AND('Mapa final'!$Z$61="Alta",'Mapa final'!$AB$61="Menor"),CONCATENATE("R9C",'Mapa final'!$P$61),"")</f>
        <v/>
      </c>
      <c r="V24" s="9" t="str">
        <f>IF(AND('Mapa final'!$Z$56="Alta",'Mapa final'!$AB$56="Moderado"),CONCATENATE("R9C",'Mapa final'!$P$56),"")</f>
        <v/>
      </c>
      <c r="W24" s="10" t="str">
        <f>IF(AND('Mapa final'!$Z$57="Alta",'Mapa final'!$AB$57="Moderado"),CONCATENATE("R9C",'Mapa final'!$P$57),"")</f>
        <v/>
      </c>
      <c r="X24" s="10" t="str">
        <f>IF(AND('Mapa final'!$Z$58="Alta",'Mapa final'!$AB$58="Moderado"),CONCATENATE("R9C",'Mapa final'!$P$58),"")</f>
        <v/>
      </c>
      <c r="Y24" s="10" t="str">
        <f>IF(AND('Mapa final'!$Z$59="Alta",'Mapa final'!$AB$59="Moderado"),CONCATENATE("R9C",'Mapa final'!$P$59),"")</f>
        <v/>
      </c>
      <c r="Z24" s="10" t="str">
        <f>IF(AND('Mapa final'!$Z$60="Alta",'Mapa final'!$AB$60="Moderado"),CONCATENATE("R9C",'Mapa final'!$P$60),"")</f>
        <v/>
      </c>
      <c r="AA24" s="11" t="str">
        <f>IF(AND('Mapa final'!$Z$61="Alta",'Mapa final'!$AB$61="Moderado"),CONCATENATE("R9C",'Mapa final'!$P$61),"")</f>
        <v/>
      </c>
      <c r="AB24" s="9" t="str">
        <f>IF(AND('Mapa final'!$Z$56="Alta",'Mapa final'!$AB$56="Mayor"),CONCATENATE("R9C",'Mapa final'!$P$56),"")</f>
        <v/>
      </c>
      <c r="AC24" s="10" t="str">
        <f>IF(AND('Mapa final'!$Z$57="Alta",'Mapa final'!$AB$57="Mayor"),CONCATENATE("R9C",'Mapa final'!$P$57),"")</f>
        <v/>
      </c>
      <c r="AD24" s="10" t="str">
        <f>IF(AND('Mapa final'!$Z$58="Alta",'Mapa final'!$AB$58="Mayor"),CONCATENATE("R9C",'Mapa final'!$P$58),"")</f>
        <v/>
      </c>
      <c r="AE24" s="10" t="str">
        <f>IF(AND('Mapa final'!$Z$59="Alta",'Mapa final'!$AB$59="Mayor"),CONCATENATE("R9C",'Mapa final'!$P$59),"")</f>
        <v/>
      </c>
      <c r="AF24" s="10" t="str">
        <f>IF(AND('Mapa final'!$Z$60="Alta",'Mapa final'!$AB$60="Mayor"),CONCATENATE("R9C",'Mapa final'!$P$60),"")</f>
        <v/>
      </c>
      <c r="AG24" s="11" t="str">
        <f>IF(AND('Mapa final'!$Z$61="Alta",'Mapa final'!$AB$61="Mayor"),CONCATENATE("R9C",'Mapa final'!$P$61),"")</f>
        <v/>
      </c>
      <c r="AH24" s="12" t="str">
        <f>IF(AND('Mapa final'!$Z$56="Alta",'Mapa final'!$AB$56="Catastrófico"),CONCATENATE("R9C",'Mapa final'!$P$56),"")</f>
        <v/>
      </c>
      <c r="AI24" s="13" t="str">
        <f>IF(AND('Mapa final'!$Z$57="Alta",'Mapa final'!$AB$57="Catastrófico"),CONCATENATE("R9C",'Mapa final'!$P$57),"")</f>
        <v/>
      </c>
      <c r="AJ24" s="13" t="str">
        <f>IF(AND('Mapa final'!$Z$58="Alta",'Mapa final'!$AB$58="Catastrófico"),CONCATENATE("R9C",'Mapa final'!$P$58),"")</f>
        <v/>
      </c>
      <c r="AK24" s="13" t="str">
        <f>IF(AND('Mapa final'!$Z$59="Alta",'Mapa final'!$AB$59="Catastrófico"),CONCATENATE("R9C",'Mapa final'!$P$59),"")</f>
        <v/>
      </c>
      <c r="AL24" s="13" t="str">
        <f>IF(AND('Mapa final'!$Z$60="Alta",'Mapa final'!$AB$60="Catastrófico"),CONCATENATE("R9C",'Mapa final'!$P$60),"")</f>
        <v/>
      </c>
      <c r="AM24" s="14" t="str">
        <f>IF(AND('Mapa final'!$Z$61="Alta",'Mapa final'!$AB$61="Catastrófico"),CONCATENATE("R9C",'Mapa final'!$P$61),"")</f>
        <v/>
      </c>
      <c r="AN24" s="40"/>
      <c r="AO24" s="315"/>
      <c r="AP24" s="316"/>
      <c r="AQ24" s="316"/>
      <c r="AR24" s="316"/>
      <c r="AS24" s="316"/>
      <c r="AT24" s="317"/>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row>
    <row r="25" spans="1:76" ht="15.75" customHeight="1" thickBot="1" x14ac:dyDescent="0.3">
      <c r="A25" s="40"/>
      <c r="B25" s="264"/>
      <c r="C25" s="264"/>
      <c r="D25" s="265"/>
      <c r="E25" s="308"/>
      <c r="F25" s="309"/>
      <c r="G25" s="309"/>
      <c r="H25" s="309"/>
      <c r="I25" s="309"/>
      <c r="J25" s="27" t="e">
        <f>IF(AND('Mapa final'!#REF!="Alta",'Mapa final'!#REF!="Leve"),CONCATENATE("R10C",'Mapa final'!#REF!),"")</f>
        <v>#REF!</v>
      </c>
      <c r="K25" s="28" t="e">
        <f>IF(AND('Mapa final'!#REF!="Alta",'Mapa final'!#REF!="Leve"),CONCATENATE("R10C",'Mapa final'!#REF!),"")</f>
        <v>#REF!</v>
      </c>
      <c r="L25" s="28" t="e">
        <f>IF(AND('Mapa final'!#REF!="Alta",'Mapa final'!#REF!="Leve"),CONCATENATE("R10C",'Mapa final'!#REF!),"")</f>
        <v>#REF!</v>
      </c>
      <c r="M25" s="28" t="e">
        <f>IF(AND('Mapa final'!#REF!="Alta",'Mapa final'!#REF!="Leve"),CONCATENATE("R10C",'Mapa final'!#REF!),"")</f>
        <v>#REF!</v>
      </c>
      <c r="N25" s="28" t="e">
        <f>IF(AND('Mapa final'!#REF!="Alta",'Mapa final'!#REF!="Leve"),CONCATENATE("R10C",'Mapa final'!#REF!),"")</f>
        <v>#REF!</v>
      </c>
      <c r="O25" s="29" t="e">
        <f>IF(AND('Mapa final'!#REF!="Alta",'Mapa final'!#REF!="Leve"),CONCATENATE("R10C",'Mapa final'!#REF!),"")</f>
        <v>#REF!</v>
      </c>
      <c r="P25" s="27" t="e">
        <f>IF(AND('Mapa final'!#REF!="Alta",'Mapa final'!#REF!="Menor"),CONCATENATE("R10C",'Mapa final'!#REF!),"")</f>
        <v>#REF!</v>
      </c>
      <c r="Q25" s="28" t="e">
        <f>IF(AND('Mapa final'!#REF!="Alta",'Mapa final'!#REF!="Menor"),CONCATENATE("R10C",'Mapa final'!#REF!),"")</f>
        <v>#REF!</v>
      </c>
      <c r="R25" s="28" t="e">
        <f>IF(AND('Mapa final'!#REF!="Alta",'Mapa final'!#REF!="Menor"),CONCATENATE("R10C",'Mapa final'!#REF!),"")</f>
        <v>#REF!</v>
      </c>
      <c r="S25" s="28" t="e">
        <f>IF(AND('Mapa final'!#REF!="Alta",'Mapa final'!#REF!="Menor"),CONCATENATE("R10C",'Mapa final'!#REF!),"")</f>
        <v>#REF!</v>
      </c>
      <c r="T25" s="28" t="e">
        <f>IF(AND('Mapa final'!#REF!="Alta",'Mapa final'!#REF!="Menor"),CONCATENATE("R10C",'Mapa final'!#REF!),"")</f>
        <v>#REF!</v>
      </c>
      <c r="U25" s="29" t="e">
        <f>IF(AND('Mapa final'!#REF!="Alta",'Mapa final'!#REF!="Menor"),CONCATENATE("R10C",'Mapa final'!#REF!),"")</f>
        <v>#REF!</v>
      </c>
      <c r="V25" s="15" t="e">
        <f>IF(AND('Mapa final'!#REF!="Alta",'Mapa final'!#REF!="Moderado"),CONCATENATE("R10C",'Mapa final'!#REF!),"")</f>
        <v>#REF!</v>
      </c>
      <c r="W25" s="16" t="e">
        <f>IF(AND('Mapa final'!#REF!="Alta",'Mapa final'!#REF!="Moderado"),CONCATENATE("R10C",'Mapa final'!#REF!),"")</f>
        <v>#REF!</v>
      </c>
      <c r="X25" s="16" t="e">
        <f>IF(AND('Mapa final'!#REF!="Alta",'Mapa final'!#REF!="Moderado"),CONCATENATE("R10C",'Mapa final'!#REF!),"")</f>
        <v>#REF!</v>
      </c>
      <c r="Y25" s="16" t="e">
        <f>IF(AND('Mapa final'!#REF!="Alta",'Mapa final'!#REF!="Moderado"),CONCATENATE("R10C",'Mapa final'!#REF!),"")</f>
        <v>#REF!</v>
      </c>
      <c r="Z25" s="16" t="e">
        <f>IF(AND('Mapa final'!#REF!="Alta",'Mapa final'!#REF!="Moderado"),CONCATENATE("R10C",'Mapa final'!#REF!),"")</f>
        <v>#REF!</v>
      </c>
      <c r="AA25" s="17" t="e">
        <f>IF(AND('Mapa final'!#REF!="Alta",'Mapa final'!#REF!="Moderado"),CONCATENATE("R10C",'Mapa final'!#REF!),"")</f>
        <v>#REF!</v>
      </c>
      <c r="AB25" s="15" t="e">
        <f>IF(AND('Mapa final'!#REF!="Alta",'Mapa final'!#REF!="Mayor"),CONCATENATE("R10C",'Mapa final'!#REF!),"")</f>
        <v>#REF!</v>
      </c>
      <c r="AC25" s="16" t="e">
        <f>IF(AND('Mapa final'!#REF!="Alta",'Mapa final'!#REF!="Mayor"),CONCATENATE("R10C",'Mapa final'!#REF!),"")</f>
        <v>#REF!</v>
      </c>
      <c r="AD25" s="16" t="e">
        <f>IF(AND('Mapa final'!#REF!="Alta",'Mapa final'!#REF!="Mayor"),CONCATENATE("R10C",'Mapa final'!#REF!),"")</f>
        <v>#REF!</v>
      </c>
      <c r="AE25" s="16" t="e">
        <f>IF(AND('Mapa final'!#REF!="Alta",'Mapa final'!#REF!="Mayor"),CONCATENATE("R10C",'Mapa final'!#REF!),"")</f>
        <v>#REF!</v>
      </c>
      <c r="AF25" s="16" t="e">
        <f>IF(AND('Mapa final'!#REF!="Alta",'Mapa final'!#REF!="Mayor"),CONCATENATE("R10C",'Mapa final'!#REF!),"")</f>
        <v>#REF!</v>
      </c>
      <c r="AG25" s="17" t="e">
        <f>IF(AND('Mapa final'!#REF!="Alta",'Mapa final'!#REF!="Mayor"),CONCATENATE("R10C",'Mapa final'!#REF!),"")</f>
        <v>#REF!</v>
      </c>
      <c r="AH25" s="18" t="e">
        <f>IF(AND('Mapa final'!#REF!="Alta",'Mapa final'!#REF!="Catastrófico"),CONCATENATE("R10C",'Mapa final'!#REF!),"")</f>
        <v>#REF!</v>
      </c>
      <c r="AI25" s="19" t="e">
        <f>IF(AND('Mapa final'!#REF!="Alta",'Mapa final'!#REF!="Catastrófico"),CONCATENATE("R10C",'Mapa final'!#REF!),"")</f>
        <v>#REF!</v>
      </c>
      <c r="AJ25" s="19" t="e">
        <f>IF(AND('Mapa final'!#REF!="Alta",'Mapa final'!#REF!="Catastrófico"),CONCATENATE("R10C",'Mapa final'!#REF!),"")</f>
        <v>#REF!</v>
      </c>
      <c r="AK25" s="19" t="e">
        <f>IF(AND('Mapa final'!#REF!="Alta",'Mapa final'!#REF!="Catastrófico"),CONCATENATE("R10C",'Mapa final'!#REF!),"")</f>
        <v>#REF!</v>
      </c>
      <c r="AL25" s="19" t="e">
        <f>IF(AND('Mapa final'!#REF!="Alta",'Mapa final'!#REF!="Catastrófico"),CONCATENATE("R10C",'Mapa final'!#REF!),"")</f>
        <v>#REF!</v>
      </c>
      <c r="AM25" s="20" t="e">
        <f>IF(AND('Mapa final'!#REF!="Alta",'Mapa final'!#REF!="Catastrófico"),CONCATENATE("R10C",'Mapa final'!#REF!),"")</f>
        <v>#REF!</v>
      </c>
      <c r="AN25" s="40"/>
      <c r="AO25" s="318"/>
      <c r="AP25" s="319"/>
      <c r="AQ25" s="319"/>
      <c r="AR25" s="319"/>
      <c r="AS25" s="319"/>
      <c r="AT25" s="320"/>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row>
    <row r="26" spans="1:76" ht="15" customHeight="1" x14ac:dyDescent="0.25">
      <c r="A26" s="40"/>
      <c r="B26" s="264"/>
      <c r="C26" s="264"/>
      <c r="D26" s="265"/>
      <c r="E26" s="302" t="s">
        <v>47</v>
      </c>
      <c r="F26" s="303"/>
      <c r="G26" s="303"/>
      <c r="H26" s="303"/>
      <c r="I26" s="304"/>
      <c r="J26" s="21" t="str">
        <f>IF(AND('Mapa final'!$Z$8="Media",'Mapa final'!$AB$8="Leve"),CONCATENATE("R1C",'Mapa final'!$P$8),"")</f>
        <v/>
      </c>
      <c r="K26" s="22" t="str">
        <f>IF(AND('Mapa final'!$Z$9="Media",'Mapa final'!$AB$9="Leve"),CONCATENATE("R1C",'Mapa final'!$P$9),"")</f>
        <v/>
      </c>
      <c r="L26" s="22" t="str">
        <f>IF(AND('Mapa final'!$Z$10="Media",'Mapa final'!$AB$10="Leve"),CONCATENATE("R1C",'Mapa final'!$P$10),"")</f>
        <v/>
      </c>
      <c r="M26" s="22" t="str">
        <f>IF(AND('Mapa final'!$Z$11="Media",'Mapa final'!$AB$11="Leve"),CONCATENATE("R1C",'Mapa final'!$P$11),"")</f>
        <v/>
      </c>
      <c r="N26" s="22" t="str">
        <f>IF(AND('Mapa final'!$Z$12="Media",'Mapa final'!$AB$12="Leve"),CONCATENATE("R1C",'Mapa final'!$P$12),"")</f>
        <v/>
      </c>
      <c r="O26" s="23" t="str">
        <f>IF(AND('Mapa final'!$Z$13="Media",'Mapa final'!$AB$13="Leve"),CONCATENATE("R1C",'Mapa final'!$P$13),"")</f>
        <v/>
      </c>
      <c r="P26" s="21" t="str">
        <f>IF(AND('Mapa final'!$Z$8="Media",'Mapa final'!$AB$8="Menor"),CONCATENATE("R1C",'Mapa final'!$P$8),"")</f>
        <v/>
      </c>
      <c r="Q26" s="22" t="str">
        <f>IF(AND('Mapa final'!$Z$9="Media",'Mapa final'!$AB$9="Menor"),CONCATENATE("R1C",'Mapa final'!$P$9),"")</f>
        <v/>
      </c>
      <c r="R26" s="22" t="str">
        <f>IF(AND('Mapa final'!$Z$10="Media",'Mapa final'!$AB$10="Menor"),CONCATENATE("R1C",'Mapa final'!$P$10),"")</f>
        <v/>
      </c>
      <c r="S26" s="22" t="str">
        <f>IF(AND('Mapa final'!$Z$11="Media",'Mapa final'!$AB$11="Menor"),CONCATENATE("R1C",'Mapa final'!$P$11),"")</f>
        <v/>
      </c>
      <c r="T26" s="22" t="str">
        <f>IF(AND('Mapa final'!$Z$12="Media",'Mapa final'!$AB$12="Menor"),CONCATENATE("R1C",'Mapa final'!$P$12),"")</f>
        <v/>
      </c>
      <c r="U26" s="23" t="str">
        <f>IF(AND('Mapa final'!$Z$13="Media",'Mapa final'!$AB$13="Menor"),CONCATENATE("R1C",'Mapa final'!$P$13),"")</f>
        <v/>
      </c>
      <c r="V26" s="21" t="str">
        <f>IF(AND('Mapa final'!$Z$8="Media",'Mapa final'!$AB$8="Moderado"),CONCATENATE("R1C",'Mapa final'!$P$8),"")</f>
        <v/>
      </c>
      <c r="W26" s="22" t="str">
        <f>IF(AND('Mapa final'!$Z$9="Media",'Mapa final'!$AB$9="Moderado"),CONCATENATE("R1C",'Mapa final'!$P$9),"")</f>
        <v/>
      </c>
      <c r="X26" s="22" t="str">
        <f>IF(AND('Mapa final'!$Z$10="Media",'Mapa final'!$AB$10="Moderado"),CONCATENATE("R1C",'Mapa final'!$P$10),"")</f>
        <v/>
      </c>
      <c r="Y26" s="22" t="str">
        <f>IF(AND('Mapa final'!$Z$11="Media",'Mapa final'!$AB$11="Moderado"),CONCATENATE("R1C",'Mapa final'!$P$11),"")</f>
        <v/>
      </c>
      <c r="Z26" s="22" t="str">
        <f>IF(AND('Mapa final'!$Z$12="Media",'Mapa final'!$AB$12="Moderado"),CONCATENATE("R1C",'Mapa final'!$P$12),"")</f>
        <v/>
      </c>
      <c r="AA26" s="23" t="str">
        <f>IF(AND('Mapa final'!$Z$13="Media",'Mapa final'!$AB$13="Moderado"),CONCATENATE("R1C",'Mapa final'!$P$13),"")</f>
        <v/>
      </c>
      <c r="AB26" s="3" t="str">
        <f>IF(AND('Mapa final'!$Z$8="Media",'Mapa final'!$AB$8="Mayor"),CONCATENATE("R1C",'Mapa final'!$P$8),"")</f>
        <v/>
      </c>
      <c r="AC26" s="4" t="str">
        <f>IF(AND('Mapa final'!$Z$9="Media",'Mapa final'!$AB$9="Mayor"),CONCATENATE("R1C",'Mapa final'!$P$9),"")</f>
        <v/>
      </c>
      <c r="AD26" s="4" t="str">
        <f>IF(AND('Mapa final'!$Z$10="Media",'Mapa final'!$AB$10="Mayor"),CONCATENATE("R1C",'Mapa final'!$P$10),"")</f>
        <v/>
      </c>
      <c r="AE26" s="4" t="str">
        <f>IF(AND('Mapa final'!$Z$11="Media",'Mapa final'!$AB$11="Mayor"),CONCATENATE("R1C",'Mapa final'!$P$11),"")</f>
        <v/>
      </c>
      <c r="AF26" s="4" t="str">
        <f>IF(AND('Mapa final'!$Z$12="Media",'Mapa final'!$AB$12="Mayor"),CONCATENATE("R1C",'Mapa final'!$P$12),"")</f>
        <v/>
      </c>
      <c r="AG26" s="5" t="str">
        <f>IF(AND('Mapa final'!$Z$13="Media",'Mapa final'!$AB$13="Mayor"),CONCATENATE("R1C",'Mapa final'!$P$13),"")</f>
        <v/>
      </c>
      <c r="AH26" s="6" t="str">
        <f>IF(AND('Mapa final'!$Z$8="Media",'Mapa final'!$AB$8="Catastrófico"),CONCATENATE("R1C",'Mapa final'!$P$8),"")</f>
        <v/>
      </c>
      <c r="AI26" s="7" t="str">
        <f>IF(AND('Mapa final'!$Z$9="Media",'Mapa final'!$AB$9="Catastrófico"),CONCATENATE("R1C",'Mapa final'!$P$9),"")</f>
        <v/>
      </c>
      <c r="AJ26" s="7" t="str">
        <f>IF(AND('Mapa final'!$Z$10="Media",'Mapa final'!$AB$10="Catastrófico"),CONCATENATE("R1C",'Mapa final'!$P$10),"")</f>
        <v/>
      </c>
      <c r="AK26" s="7" t="str">
        <f>IF(AND('Mapa final'!$Z$11="Media",'Mapa final'!$AB$11="Catastrófico"),CONCATENATE("R1C",'Mapa final'!$P$11),"")</f>
        <v/>
      </c>
      <c r="AL26" s="7" t="str">
        <f>IF(AND('Mapa final'!$Z$12="Media",'Mapa final'!$AB$12="Catastrófico"),CONCATENATE("R1C",'Mapa final'!$P$12),"")</f>
        <v/>
      </c>
      <c r="AM26" s="8" t="str">
        <f>IF(AND('Mapa final'!$Z$13="Media",'Mapa final'!$AB$13="Catastrófico"),CONCATENATE("R1C",'Mapa final'!$P$13),"")</f>
        <v/>
      </c>
      <c r="AN26" s="40"/>
      <c r="AO26" s="342" t="s">
        <v>48</v>
      </c>
      <c r="AP26" s="343"/>
      <c r="AQ26" s="343"/>
      <c r="AR26" s="343"/>
      <c r="AS26" s="343"/>
      <c r="AT26" s="344"/>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row>
    <row r="27" spans="1:76" ht="15" customHeight="1" x14ac:dyDescent="0.25">
      <c r="A27" s="40"/>
      <c r="B27" s="264"/>
      <c r="C27" s="264"/>
      <c r="D27" s="265"/>
      <c r="E27" s="321"/>
      <c r="F27" s="306"/>
      <c r="G27" s="306"/>
      <c r="H27" s="306"/>
      <c r="I27" s="307"/>
      <c r="J27" s="24" t="str">
        <f>IF(AND('Mapa final'!$Z$14="Media",'Mapa final'!$AB$14="Leve"),CONCATENATE("R2C",'Mapa final'!$P$14),"")</f>
        <v/>
      </c>
      <c r="K27" s="25" t="str">
        <f>IF(AND('Mapa final'!$Z$15="Media",'Mapa final'!$AB$15="Leve"),CONCATENATE("R2C",'Mapa final'!$P$15),"")</f>
        <v/>
      </c>
      <c r="L27" s="25" t="str">
        <f>IF(AND('Mapa final'!$Z$16="Media",'Mapa final'!$AB$16="Leve"),CONCATENATE("R2C",'Mapa final'!$P$16),"")</f>
        <v/>
      </c>
      <c r="M27" s="25" t="str">
        <f>IF(AND('Mapa final'!$Z$17="Media",'Mapa final'!$AB$17="Leve"),CONCATENATE("R2C",'Mapa final'!$P$17),"")</f>
        <v/>
      </c>
      <c r="N27" s="25" t="str">
        <f>IF(AND('Mapa final'!$Z$18="Media",'Mapa final'!$AB$18="Leve"),CONCATENATE("R2C",'Mapa final'!$P$18),"")</f>
        <v/>
      </c>
      <c r="O27" s="26" t="str">
        <f>IF(AND('Mapa final'!$Z$19="Media",'Mapa final'!$AB$19="Leve"),CONCATENATE("R2C",'Mapa final'!$P$19),"")</f>
        <v/>
      </c>
      <c r="P27" s="24" t="str">
        <f>IF(AND('Mapa final'!$Z$14="Media",'Mapa final'!$AB$14="Menor"),CONCATENATE("R2C",'Mapa final'!$P$14),"")</f>
        <v/>
      </c>
      <c r="Q27" s="25" t="str">
        <f>IF(AND('Mapa final'!$Z$15="Media",'Mapa final'!$AB$15="Menor"),CONCATENATE("R2C",'Mapa final'!$P$15),"")</f>
        <v/>
      </c>
      <c r="R27" s="25" t="str">
        <f>IF(AND('Mapa final'!$Z$16="Media",'Mapa final'!$AB$16="Menor"),CONCATENATE("R2C",'Mapa final'!$P$16),"")</f>
        <v/>
      </c>
      <c r="S27" s="25" t="str">
        <f>IF(AND('Mapa final'!$Z$17="Media",'Mapa final'!$AB$17="Menor"),CONCATENATE("R2C",'Mapa final'!$P$17),"")</f>
        <v/>
      </c>
      <c r="T27" s="25" t="str">
        <f>IF(AND('Mapa final'!$Z$18="Media",'Mapa final'!$AB$18="Menor"),CONCATENATE("R2C",'Mapa final'!$P$18),"")</f>
        <v/>
      </c>
      <c r="U27" s="26" t="str">
        <f>IF(AND('Mapa final'!$Z$19="Media",'Mapa final'!$AB$19="Menor"),CONCATENATE("R2C",'Mapa final'!$P$19),"")</f>
        <v/>
      </c>
      <c r="V27" s="24" t="str">
        <f>IF(AND('Mapa final'!$Z$14="Media",'Mapa final'!$AB$14="Moderado"),CONCATENATE("R2C",'Mapa final'!$P$14),"")</f>
        <v/>
      </c>
      <c r="W27" s="25" t="str">
        <f>IF(AND('Mapa final'!$Z$15="Media",'Mapa final'!$AB$15="Moderado"),CONCATENATE("R2C",'Mapa final'!$P$15),"")</f>
        <v/>
      </c>
      <c r="X27" s="25" t="str">
        <f>IF(AND('Mapa final'!$Z$16="Media",'Mapa final'!$AB$16="Moderado"),CONCATENATE("R2C",'Mapa final'!$P$16),"")</f>
        <v/>
      </c>
      <c r="Y27" s="25" t="str">
        <f>IF(AND('Mapa final'!$Z$17="Media",'Mapa final'!$AB$17="Moderado"),CONCATENATE("R2C",'Mapa final'!$P$17),"")</f>
        <v/>
      </c>
      <c r="Z27" s="25" t="str">
        <f>IF(AND('Mapa final'!$Z$18="Media",'Mapa final'!$AB$18="Moderado"),CONCATENATE("R2C",'Mapa final'!$P$18),"")</f>
        <v/>
      </c>
      <c r="AA27" s="26" t="str">
        <f>IF(AND('Mapa final'!$Z$19="Media",'Mapa final'!$AB$19="Moderado"),CONCATENATE("R2C",'Mapa final'!$P$19),"")</f>
        <v/>
      </c>
      <c r="AB27" s="9" t="str">
        <f>IF(AND('Mapa final'!$Z$14="Media",'Mapa final'!$AB$14="Mayor"),CONCATENATE("R2C",'Mapa final'!$P$14),"")</f>
        <v/>
      </c>
      <c r="AC27" s="10" t="str">
        <f>IF(AND('Mapa final'!$Z$15="Media",'Mapa final'!$AB$15="Mayor"),CONCATENATE("R2C",'Mapa final'!$P$15),"")</f>
        <v/>
      </c>
      <c r="AD27" s="10" t="str">
        <f>IF(AND('Mapa final'!$Z$16="Media",'Mapa final'!$AB$16="Mayor"),CONCATENATE("R2C",'Mapa final'!$P$16),"")</f>
        <v/>
      </c>
      <c r="AE27" s="10" t="str">
        <f>IF(AND('Mapa final'!$Z$17="Media",'Mapa final'!$AB$17="Mayor"),CONCATENATE("R2C",'Mapa final'!$P$17),"")</f>
        <v/>
      </c>
      <c r="AF27" s="10" t="str">
        <f>IF(AND('Mapa final'!$Z$18="Media",'Mapa final'!$AB$18="Mayor"),CONCATENATE("R2C",'Mapa final'!$P$18),"")</f>
        <v/>
      </c>
      <c r="AG27" s="11" t="str">
        <f>IF(AND('Mapa final'!$Z$19="Media",'Mapa final'!$AB$19="Mayor"),CONCATENATE("R2C",'Mapa final'!$P$19),"")</f>
        <v/>
      </c>
      <c r="AH27" s="12" t="str">
        <f>IF(AND('Mapa final'!$Z$14="Media",'Mapa final'!$AB$14="Catastrófico"),CONCATENATE("R2C",'Mapa final'!$P$14),"")</f>
        <v/>
      </c>
      <c r="AI27" s="13" t="str">
        <f>IF(AND('Mapa final'!$Z$15="Media",'Mapa final'!$AB$15="Catastrófico"),CONCATENATE("R2C",'Mapa final'!$P$15),"")</f>
        <v/>
      </c>
      <c r="AJ27" s="13" t="str">
        <f>IF(AND('Mapa final'!$Z$16="Media",'Mapa final'!$AB$16="Catastrófico"),CONCATENATE("R2C",'Mapa final'!$P$16),"")</f>
        <v/>
      </c>
      <c r="AK27" s="13" t="str">
        <f>IF(AND('Mapa final'!$Z$17="Media",'Mapa final'!$AB$17="Catastrófico"),CONCATENATE("R2C",'Mapa final'!$P$17),"")</f>
        <v/>
      </c>
      <c r="AL27" s="13" t="str">
        <f>IF(AND('Mapa final'!$Z$18="Media",'Mapa final'!$AB$18="Catastrófico"),CONCATENATE("R2C",'Mapa final'!$P$18),"")</f>
        <v/>
      </c>
      <c r="AM27" s="14" t="str">
        <f>IF(AND('Mapa final'!$Z$19="Media",'Mapa final'!$AB$19="Catastrófico"),CONCATENATE("R2C",'Mapa final'!$P$19),"")</f>
        <v/>
      </c>
      <c r="AN27" s="40"/>
      <c r="AO27" s="345"/>
      <c r="AP27" s="346"/>
      <c r="AQ27" s="346"/>
      <c r="AR27" s="346"/>
      <c r="AS27" s="346"/>
      <c r="AT27" s="347"/>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row>
    <row r="28" spans="1:76" ht="15" customHeight="1" x14ac:dyDescent="0.25">
      <c r="A28" s="40"/>
      <c r="B28" s="264"/>
      <c r="C28" s="264"/>
      <c r="D28" s="265"/>
      <c r="E28" s="305"/>
      <c r="F28" s="306"/>
      <c r="G28" s="306"/>
      <c r="H28" s="306"/>
      <c r="I28" s="307"/>
      <c r="J28" s="24" t="str">
        <f>IF(AND('Mapa final'!$Z$20="Media",'Mapa final'!$AB$20="Leve"),CONCATENATE("R3C",'Mapa final'!$P$20),"")</f>
        <v/>
      </c>
      <c r="K28" s="25" t="str">
        <f>IF(AND('Mapa final'!$Z$21="Media",'Mapa final'!$AB$21="Leve"),CONCATENATE("R3C",'Mapa final'!$P$21),"")</f>
        <v/>
      </c>
      <c r="L28" s="25" t="str">
        <f>IF(AND('Mapa final'!$Z$22="Media",'Mapa final'!$AB$22="Leve"),CONCATENATE("R3C",'Mapa final'!$P$22),"")</f>
        <v/>
      </c>
      <c r="M28" s="25" t="str">
        <f>IF(AND('Mapa final'!$Z$23="Media",'Mapa final'!$AB$23="Leve"),CONCATENATE("R3C",'Mapa final'!$P$23),"")</f>
        <v/>
      </c>
      <c r="N28" s="25" t="str">
        <f>IF(AND('Mapa final'!$Z$24="Media",'Mapa final'!$AB$24="Leve"),CONCATENATE("R3C",'Mapa final'!$P$24),"")</f>
        <v/>
      </c>
      <c r="O28" s="26" t="str">
        <f>IF(AND('Mapa final'!$Z$25="Media",'Mapa final'!$AB$25="Leve"),CONCATENATE("R3C",'Mapa final'!$P$25),"")</f>
        <v/>
      </c>
      <c r="P28" s="24" t="str">
        <f>IF(AND('Mapa final'!$Z$20="Media",'Mapa final'!$AB$20="Menor"),CONCATENATE("R3C",'Mapa final'!$P$20),"")</f>
        <v/>
      </c>
      <c r="Q28" s="25" t="str">
        <f>IF(AND('Mapa final'!$Z$21="Media",'Mapa final'!$AB$21="Menor"),CONCATENATE("R3C",'Mapa final'!$P$21),"")</f>
        <v/>
      </c>
      <c r="R28" s="25" t="str">
        <f>IF(AND('Mapa final'!$Z$22="Media",'Mapa final'!$AB$22="Menor"),CONCATENATE("R3C",'Mapa final'!$P$22),"")</f>
        <v/>
      </c>
      <c r="S28" s="25" t="str">
        <f>IF(AND('Mapa final'!$Z$23="Media",'Mapa final'!$AB$23="Menor"),CONCATENATE("R3C",'Mapa final'!$P$23),"")</f>
        <v/>
      </c>
      <c r="T28" s="25" t="str">
        <f>IF(AND('Mapa final'!$Z$24="Media",'Mapa final'!$AB$24="Menor"),CONCATENATE("R3C",'Mapa final'!$P$24),"")</f>
        <v/>
      </c>
      <c r="U28" s="26" t="str">
        <f>IF(AND('Mapa final'!$Z$25="Media",'Mapa final'!$AB$25="Menor"),CONCATENATE("R3C",'Mapa final'!$P$25),"")</f>
        <v/>
      </c>
      <c r="V28" s="24" t="str">
        <f>IF(AND('Mapa final'!$Z$20="Media",'Mapa final'!$AB$20="Moderado"),CONCATENATE("R3C",'Mapa final'!$P$20),"")</f>
        <v/>
      </c>
      <c r="W28" s="25" t="str">
        <f>IF(AND('Mapa final'!$Z$21="Media",'Mapa final'!$AB$21="Moderado"),CONCATENATE("R3C",'Mapa final'!$P$21),"")</f>
        <v/>
      </c>
      <c r="X28" s="25" t="str">
        <f>IF(AND('Mapa final'!$Z$22="Media",'Mapa final'!$AB$22="Moderado"),CONCATENATE("R3C",'Mapa final'!$P$22),"")</f>
        <v/>
      </c>
      <c r="Y28" s="25" t="str">
        <f>IF(AND('Mapa final'!$Z$23="Media",'Mapa final'!$AB$23="Moderado"),CONCATENATE("R3C",'Mapa final'!$P$23),"")</f>
        <v/>
      </c>
      <c r="Z28" s="25" t="str">
        <f>IF(AND('Mapa final'!$Z$24="Media",'Mapa final'!$AB$24="Moderado"),CONCATENATE("R3C",'Mapa final'!$P$24),"")</f>
        <v/>
      </c>
      <c r="AA28" s="26" t="str">
        <f>IF(AND('Mapa final'!$Z$25="Media",'Mapa final'!$AB$25="Moderado"),CONCATENATE("R3C",'Mapa final'!$P$25),"")</f>
        <v/>
      </c>
      <c r="AB28" s="9" t="str">
        <f>IF(AND('Mapa final'!$Z$20="Media",'Mapa final'!$AB$20="Mayor"),CONCATENATE("R3C",'Mapa final'!$P$20),"")</f>
        <v/>
      </c>
      <c r="AC28" s="10" t="str">
        <f>IF(AND('Mapa final'!$Z$21="Media",'Mapa final'!$AB$21="Mayor"),CONCATENATE("R3C",'Mapa final'!$P$21),"")</f>
        <v/>
      </c>
      <c r="AD28" s="10" t="str">
        <f>IF(AND('Mapa final'!$Z$22="Media",'Mapa final'!$AB$22="Mayor"),CONCATENATE("R3C",'Mapa final'!$P$22),"")</f>
        <v/>
      </c>
      <c r="AE28" s="10" t="str">
        <f>IF(AND('Mapa final'!$Z$23="Media",'Mapa final'!$AB$23="Mayor"),CONCATENATE("R3C",'Mapa final'!$P$23),"")</f>
        <v/>
      </c>
      <c r="AF28" s="10" t="str">
        <f>IF(AND('Mapa final'!$Z$24="Media",'Mapa final'!$AB$24="Mayor"),CONCATENATE("R3C",'Mapa final'!$P$24),"")</f>
        <v/>
      </c>
      <c r="AG28" s="11" t="str">
        <f>IF(AND('Mapa final'!$Z$25="Media",'Mapa final'!$AB$25="Mayor"),CONCATENATE("R3C",'Mapa final'!$P$25),"")</f>
        <v/>
      </c>
      <c r="AH28" s="12" t="str">
        <f>IF(AND('Mapa final'!$Z$20="Media",'Mapa final'!$AB$20="Catastrófico"),CONCATENATE("R3C",'Mapa final'!$P$20),"")</f>
        <v/>
      </c>
      <c r="AI28" s="13" t="str">
        <f>IF(AND('Mapa final'!$Z$21="Media",'Mapa final'!$AB$21="Catastrófico"),CONCATENATE("R3C",'Mapa final'!$P$21),"")</f>
        <v/>
      </c>
      <c r="AJ28" s="13" t="str">
        <f>IF(AND('Mapa final'!$Z$22="Media",'Mapa final'!$AB$22="Catastrófico"),CONCATENATE("R3C",'Mapa final'!$P$22),"")</f>
        <v/>
      </c>
      <c r="AK28" s="13" t="str">
        <f>IF(AND('Mapa final'!$Z$23="Media",'Mapa final'!$AB$23="Catastrófico"),CONCATENATE("R3C",'Mapa final'!$P$23),"")</f>
        <v/>
      </c>
      <c r="AL28" s="13" t="str">
        <f>IF(AND('Mapa final'!$Z$24="Media",'Mapa final'!$AB$24="Catastrófico"),CONCATENATE("R3C",'Mapa final'!$P$24),"")</f>
        <v/>
      </c>
      <c r="AM28" s="14" t="str">
        <f>IF(AND('Mapa final'!$Z$25="Media",'Mapa final'!$AB$25="Catastrófico"),CONCATENATE("R3C",'Mapa final'!$P$25),"")</f>
        <v/>
      </c>
      <c r="AN28" s="40"/>
      <c r="AO28" s="345"/>
      <c r="AP28" s="346"/>
      <c r="AQ28" s="346"/>
      <c r="AR28" s="346"/>
      <c r="AS28" s="346"/>
      <c r="AT28" s="347"/>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row>
    <row r="29" spans="1:76" ht="15" customHeight="1" x14ac:dyDescent="0.25">
      <c r="A29" s="40"/>
      <c r="B29" s="264"/>
      <c r="C29" s="264"/>
      <c r="D29" s="265"/>
      <c r="E29" s="305"/>
      <c r="F29" s="306"/>
      <c r="G29" s="306"/>
      <c r="H29" s="306"/>
      <c r="I29" s="307"/>
      <c r="J29" s="24" t="str">
        <f>IF(AND('Mapa final'!$Z$26="Media",'Mapa final'!$AB$26="Leve"),CONCATENATE("R4C",'Mapa final'!$P$26),"")</f>
        <v/>
      </c>
      <c r="K29" s="25" t="str">
        <f>IF(AND('Mapa final'!$Z$27="Media",'Mapa final'!$AB$27="Leve"),CONCATENATE("R4C",'Mapa final'!$P$27),"")</f>
        <v/>
      </c>
      <c r="L29" s="25" t="str">
        <f>IF(AND('Mapa final'!$Z$28="Media",'Mapa final'!$AB$28="Leve"),CONCATENATE("R4C",'Mapa final'!$P$28),"")</f>
        <v/>
      </c>
      <c r="M29" s="25" t="str">
        <f>IF(AND('Mapa final'!$Z$29="Media",'Mapa final'!$AB$29="Leve"),CONCATENATE("R4C",'Mapa final'!$P$29),"")</f>
        <v/>
      </c>
      <c r="N29" s="25" t="str">
        <f>IF(AND('Mapa final'!$Z$30="Media",'Mapa final'!$AB$30="Leve"),CONCATENATE("R4C",'Mapa final'!$P$30),"")</f>
        <v/>
      </c>
      <c r="O29" s="26" t="str">
        <f>IF(AND('Mapa final'!$Z$31="Media",'Mapa final'!$AB$31="Leve"),CONCATENATE("R4C",'Mapa final'!$P$31),"")</f>
        <v/>
      </c>
      <c r="P29" s="24" t="str">
        <f>IF(AND('Mapa final'!$Z$26="Media",'Mapa final'!$AB$26="Menor"),CONCATENATE("R4C",'Mapa final'!$P$26),"")</f>
        <v/>
      </c>
      <c r="Q29" s="25" t="str">
        <f>IF(AND('Mapa final'!$Z$27="Media",'Mapa final'!$AB$27="Menor"),CONCATENATE("R4C",'Mapa final'!$P$27),"")</f>
        <v/>
      </c>
      <c r="R29" s="25" t="str">
        <f>IF(AND('Mapa final'!$Z$28="Media",'Mapa final'!$AB$28="Menor"),CONCATENATE("R4C",'Mapa final'!$P$28),"")</f>
        <v/>
      </c>
      <c r="S29" s="25" t="str">
        <f>IF(AND('Mapa final'!$Z$29="Media",'Mapa final'!$AB$29="Menor"),CONCATENATE("R4C",'Mapa final'!$P$29),"")</f>
        <v/>
      </c>
      <c r="T29" s="25" t="str">
        <f>IF(AND('Mapa final'!$Z$30="Media",'Mapa final'!$AB$30="Menor"),CONCATENATE("R4C",'Mapa final'!$P$30),"")</f>
        <v/>
      </c>
      <c r="U29" s="26" t="str">
        <f>IF(AND('Mapa final'!$Z$31="Media",'Mapa final'!$AB$31="Menor"),CONCATENATE("R4C",'Mapa final'!$P$31),"")</f>
        <v/>
      </c>
      <c r="V29" s="24" t="str">
        <f>IF(AND('Mapa final'!$Z$26="Media",'Mapa final'!$AB$26="Moderado"),CONCATENATE("R4C",'Mapa final'!$P$26),"")</f>
        <v/>
      </c>
      <c r="W29" s="25" t="str">
        <f>IF(AND('Mapa final'!$Z$27="Media",'Mapa final'!$AB$27="Moderado"),CONCATENATE("R4C",'Mapa final'!$P$27),"")</f>
        <v/>
      </c>
      <c r="X29" s="25" t="str">
        <f>IF(AND('Mapa final'!$Z$28="Media",'Mapa final'!$AB$28="Moderado"),CONCATENATE("R4C",'Mapa final'!$P$28),"")</f>
        <v/>
      </c>
      <c r="Y29" s="25" t="str">
        <f>IF(AND('Mapa final'!$Z$29="Media",'Mapa final'!$AB$29="Moderado"),CONCATENATE("R4C",'Mapa final'!$P$29),"")</f>
        <v/>
      </c>
      <c r="Z29" s="25" t="str">
        <f>IF(AND('Mapa final'!$Z$30="Media",'Mapa final'!$AB$30="Moderado"),CONCATENATE("R4C",'Mapa final'!$P$30),"")</f>
        <v/>
      </c>
      <c r="AA29" s="26" t="str">
        <f>IF(AND('Mapa final'!$Z$31="Media",'Mapa final'!$AB$31="Moderado"),CONCATENATE("R4C",'Mapa final'!$P$31),"")</f>
        <v/>
      </c>
      <c r="AB29" s="9" t="str">
        <f>IF(AND('Mapa final'!$Z$26="Media",'Mapa final'!$AB$26="Mayor"),CONCATENATE("R4C",'Mapa final'!$P$26),"")</f>
        <v/>
      </c>
      <c r="AC29" s="10" t="str">
        <f>IF(AND('Mapa final'!$Z$27="Media",'Mapa final'!$AB$27="Mayor"),CONCATENATE("R4C",'Mapa final'!$P$27),"")</f>
        <v/>
      </c>
      <c r="AD29" s="10" t="str">
        <f>IF(AND('Mapa final'!$Z$28="Media",'Mapa final'!$AB$28="Mayor"),CONCATENATE("R4C",'Mapa final'!$P$28),"")</f>
        <v/>
      </c>
      <c r="AE29" s="10" t="str">
        <f>IF(AND('Mapa final'!$Z$29="Media",'Mapa final'!$AB$29="Mayor"),CONCATENATE("R4C",'Mapa final'!$P$29),"")</f>
        <v/>
      </c>
      <c r="AF29" s="10" t="str">
        <f>IF(AND('Mapa final'!$Z$30="Media",'Mapa final'!$AB$30="Mayor"),CONCATENATE("R4C",'Mapa final'!$P$30),"")</f>
        <v/>
      </c>
      <c r="AG29" s="11" t="str">
        <f>IF(AND('Mapa final'!$Z$31="Media",'Mapa final'!$AB$31="Mayor"),CONCATENATE("R4C",'Mapa final'!$P$31),"")</f>
        <v/>
      </c>
      <c r="AH29" s="12" t="str">
        <f>IF(AND('Mapa final'!$Z$26="Media",'Mapa final'!$AB$26="Catastrófico"),CONCATENATE("R4C",'Mapa final'!$P$26),"")</f>
        <v/>
      </c>
      <c r="AI29" s="13" t="str">
        <f>IF(AND('Mapa final'!$Z$27="Media",'Mapa final'!$AB$27="Catastrófico"),CONCATENATE("R4C",'Mapa final'!$P$27),"")</f>
        <v/>
      </c>
      <c r="AJ29" s="13" t="str">
        <f>IF(AND('Mapa final'!$Z$28="Media",'Mapa final'!$AB$28="Catastrófico"),CONCATENATE("R4C",'Mapa final'!$P$28),"")</f>
        <v/>
      </c>
      <c r="AK29" s="13" t="str">
        <f>IF(AND('Mapa final'!$Z$29="Media",'Mapa final'!$AB$29="Catastrófico"),CONCATENATE("R4C",'Mapa final'!$P$29),"")</f>
        <v/>
      </c>
      <c r="AL29" s="13" t="str">
        <f>IF(AND('Mapa final'!$Z$30="Media",'Mapa final'!$AB$30="Catastrófico"),CONCATENATE("R4C",'Mapa final'!$P$30),"")</f>
        <v/>
      </c>
      <c r="AM29" s="14" t="str">
        <f>IF(AND('Mapa final'!$Z$31="Media",'Mapa final'!$AB$31="Catastrófico"),CONCATENATE("R4C",'Mapa final'!$P$31),"")</f>
        <v/>
      </c>
      <c r="AN29" s="40"/>
      <c r="AO29" s="345"/>
      <c r="AP29" s="346"/>
      <c r="AQ29" s="346"/>
      <c r="AR29" s="346"/>
      <c r="AS29" s="346"/>
      <c r="AT29" s="347"/>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row>
    <row r="30" spans="1:76" ht="15" customHeight="1" x14ac:dyDescent="0.25">
      <c r="A30" s="40"/>
      <c r="B30" s="264"/>
      <c r="C30" s="264"/>
      <c r="D30" s="265"/>
      <c r="E30" s="305"/>
      <c r="F30" s="306"/>
      <c r="G30" s="306"/>
      <c r="H30" s="306"/>
      <c r="I30" s="307"/>
      <c r="J30" s="24" t="str">
        <f>IF(AND('Mapa final'!$Z$32="Media",'Mapa final'!$AB$32="Leve"),CONCATENATE("R5C",'Mapa final'!$P$32),"")</f>
        <v/>
      </c>
      <c r="K30" s="25" t="str">
        <f>IF(AND('Mapa final'!$Z$33="Media",'Mapa final'!$AB$33="Leve"),CONCATENATE("R5C",'Mapa final'!$P$33),"")</f>
        <v/>
      </c>
      <c r="L30" s="25" t="str">
        <f>IF(AND('Mapa final'!$Z$34="Media",'Mapa final'!$AB$34="Leve"),CONCATENATE("R5C",'Mapa final'!$P$34),"")</f>
        <v/>
      </c>
      <c r="M30" s="25" t="str">
        <f>IF(AND('Mapa final'!$Z$35="Media",'Mapa final'!$AB$35="Leve"),CONCATENATE("R5C",'Mapa final'!$P$35),"")</f>
        <v/>
      </c>
      <c r="N30" s="25" t="str">
        <f>IF(AND('Mapa final'!$Z$36="Media",'Mapa final'!$AB$36="Leve"),CONCATENATE("R5C",'Mapa final'!$P$36),"")</f>
        <v/>
      </c>
      <c r="O30" s="26" t="str">
        <f>IF(AND('Mapa final'!$Z$37="Media",'Mapa final'!$AB$37="Leve"),CONCATENATE("R5C",'Mapa final'!$P$37),"")</f>
        <v/>
      </c>
      <c r="P30" s="24" t="str">
        <f>IF(AND('Mapa final'!$Z$32="Media",'Mapa final'!$AB$32="Menor"),CONCATENATE("R5C",'Mapa final'!$P$32),"")</f>
        <v/>
      </c>
      <c r="Q30" s="25" t="str">
        <f>IF(AND('Mapa final'!$Z$33="Media",'Mapa final'!$AB$33="Menor"),CONCATENATE("R5C",'Mapa final'!$P$33),"")</f>
        <v/>
      </c>
      <c r="R30" s="25" t="str">
        <f>IF(AND('Mapa final'!$Z$34="Media",'Mapa final'!$AB$34="Menor"),CONCATENATE("R5C",'Mapa final'!$P$34),"")</f>
        <v/>
      </c>
      <c r="S30" s="25" t="str">
        <f>IF(AND('Mapa final'!$Z$35="Media",'Mapa final'!$AB$35="Menor"),CONCATENATE("R5C",'Mapa final'!$P$35),"")</f>
        <v/>
      </c>
      <c r="T30" s="25" t="str">
        <f>IF(AND('Mapa final'!$Z$36="Media",'Mapa final'!$AB$36="Menor"),CONCATENATE("R5C",'Mapa final'!$P$36),"")</f>
        <v/>
      </c>
      <c r="U30" s="26" t="str">
        <f>IF(AND('Mapa final'!$Z$37="Media",'Mapa final'!$AB$37="Menor"),CONCATENATE("R5C",'Mapa final'!$P$37),"")</f>
        <v/>
      </c>
      <c r="V30" s="24" t="str">
        <f>IF(AND('Mapa final'!$Z$32="Media",'Mapa final'!$AB$32="Moderado"),CONCATENATE("R5C",'Mapa final'!$P$32),"")</f>
        <v/>
      </c>
      <c r="W30" s="25" t="str">
        <f>IF(AND('Mapa final'!$Z$33="Media",'Mapa final'!$AB$33="Moderado"),CONCATENATE("R5C",'Mapa final'!$P$33),"")</f>
        <v/>
      </c>
      <c r="X30" s="25" t="str">
        <f>IF(AND('Mapa final'!$Z$34="Media",'Mapa final'!$AB$34="Moderado"),CONCATENATE("R5C",'Mapa final'!$P$34),"")</f>
        <v/>
      </c>
      <c r="Y30" s="25" t="str">
        <f>IF(AND('Mapa final'!$Z$35="Media",'Mapa final'!$AB$35="Moderado"),CONCATENATE("R5C",'Mapa final'!$P$35),"")</f>
        <v/>
      </c>
      <c r="Z30" s="25" t="str">
        <f>IF(AND('Mapa final'!$Z$36="Media",'Mapa final'!$AB$36="Moderado"),CONCATENATE("R5C",'Mapa final'!$P$36),"")</f>
        <v/>
      </c>
      <c r="AA30" s="26" t="str">
        <f>IF(AND('Mapa final'!$Z$37="Media",'Mapa final'!$AB$37="Moderado"),CONCATENATE("R5C",'Mapa final'!$P$37),"")</f>
        <v/>
      </c>
      <c r="AB30" s="9" t="str">
        <f>IF(AND('Mapa final'!$Z$32="Media",'Mapa final'!$AB$32="Mayor"),CONCATENATE("R5C",'Mapa final'!$P$32),"")</f>
        <v/>
      </c>
      <c r="AC30" s="10" t="str">
        <f>IF(AND('Mapa final'!$Z$33="Media",'Mapa final'!$AB$33="Mayor"),CONCATENATE("R5C",'Mapa final'!$P$33),"")</f>
        <v/>
      </c>
      <c r="AD30" s="10" t="str">
        <f>IF(AND('Mapa final'!$Z$34="Media",'Mapa final'!$AB$34="Mayor"),CONCATENATE("R5C",'Mapa final'!$P$34),"")</f>
        <v/>
      </c>
      <c r="AE30" s="10" t="str">
        <f>IF(AND('Mapa final'!$Z$35="Media",'Mapa final'!$AB$35="Mayor"),CONCATENATE("R5C",'Mapa final'!$P$35),"")</f>
        <v/>
      </c>
      <c r="AF30" s="10" t="str">
        <f>IF(AND('Mapa final'!$Z$36="Media",'Mapa final'!$AB$36="Mayor"),CONCATENATE("R5C",'Mapa final'!$P$36),"")</f>
        <v/>
      </c>
      <c r="AG30" s="11" t="str">
        <f>IF(AND('Mapa final'!$Z$37="Media",'Mapa final'!$AB$37="Mayor"),CONCATENATE("R5C",'Mapa final'!$P$37),"")</f>
        <v/>
      </c>
      <c r="AH30" s="12" t="str">
        <f>IF(AND('Mapa final'!$Z$32="Media",'Mapa final'!$AB$32="Catastrófico"),CONCATENATE("R5C",'Mapa final'!$P$32),"")</f>
        <v/>
      </c>
      <c r="AI30" s="13" t="str">
        <f>IF(AND('Mapa final'!$Z$33="Media",'Mapa final'!$AB$33="Catastrófico"),CONCATENATE("R5C",'Mapa final'!$P$33),"")</f>
        <v/>
      </c>
      <c r="AJ30" s="13" t="str">
        <f>IF(AND('Mapa final'!$Z$34="Media",'Mapa final'!$AB$34="Catastrófico"),CONCATENATE("R5C",'Mapa final'!$P$34),"")</f>
        <v/>
      </c>
      <c r="AK30" s="13" t="str">
        <f>IF(AND('Mapa final'!$Z$35="Media",'Mapa final'!$AB$35="Catastrófico"),CONCATENATE("R5C",'Mapa final'!$P$35),"")</f>
        <v/>
      </c>
      <c r="AL30" s="13" t="str">
        <f>IF(AND('Mapa final'!$Z$36="Media",'Mapa final'!$AB$36="Catastrófico"),CONCATENATE("R5C",'Mapa final'!$P$36),"")</f>
        <v/>
      </c>
      <c r="AM30" s="14" t="str">
        <f>IF(AND('Mapa final'!$Z$37="Media",'Mapa final'!$AB$37="Catastrófico"),CONCATENATE("R5C",'Mapa final'!$P$37),"")</f>
        <v/>
      </c>
      <c r="AN30" s="40"/>
      <c r="AO30" s="345"/>
      <c r="AP30" s="346"/>
      <c r="AQ30" s="346"/>
      <c r="AR30" s="346"/>
      <c r="AS30" s="346"/>
      <c r="AT30" s="347"/>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row>
    <row r="31" spans="1:76" ht="15" customHeight="1" x14ac:dyDescent="0.25">
      <c r="A31" s="40"/>
      <c r="B31" s="264"/>
      <c r="C31" s="264"/>
      <c r="D31" s="265"/>
      <c r="E31" s="305"/>
      <c r="F31" s="306"/>
      <c r="G31" s="306"/>
      <c r="H31" s="306"/>
      <c r="I31" s="307"/>
      <c r="J31" s="24" t="str">
        <f>IF(AND('Mapa final'!$Z$38="Media",'Mapa final'!$AB$38="Leve"),CONCATENATE("R6C",'Mapa final'!$P$38),"")</f>
        <v/>
      </c>
      <c r="K31" s="25" t="str">
        <f>IF(AND('Mapa final'!$Z$39="Media",'Mapa final'!$AB$39="Leve"),CONCATENATE("R6C",'Mapa final'!$P$39),"")</f>
        <v/>
      </c>
      <c r="L31" s="25" t="str">
        <f>IF(AND('Mapa final'!$Z$40="Media",'Mapa final'!$AB$40="Leve"),CONCATENATE("R6C",'Mapa final'!$P$40),"")</f>
        <v/>
      </c>
      <c r="M31" s="25" t="str">
        <f>IF(AND('Mapa final'!$Z$41="Media",'Mapa final'!$AB$41="Leve"),CONCATENATE("R6C",'Mapa final'!$P$41),"")</f>
        <v/>
      </c>
      <c r="N31" s="25" t="str">
        <f>IF(AND('Mapa final'!$Z$42="Media",'Mapa final'!$AB$42="Leve"),CONCATENATE("R6C",'Mapa final'!$P$42),"")</f>
        <v/>
      </c>
      <c r="O31" s="26" t="str">
        <f>IF(AND('Mapa final'!$Z$43="Media",'Mapa final'!$AB$43="Leve"),CONCATENATE("R6C",'Mapa final'!$P$43),"")</f>
        <v/>
      </c>
      <c r="P31" s="24" t="str">
        <f>IF(AND('Mapa final'!$Z$38="Media",'Mapa final'!$AB$38="Menor"),CONCATENATE("R6C",'Mapa final'!$P$38),"")</f>
        <v/>
      </c>
      <c r="Q31" s="25" t="str">
        <f>IF(AND('Mapa final'!$Z$39="Media",'Mapa final'!$AB$39="Menor"),CONCATENATE("R6C",'Mapa final'!$P$39),"")</f>
        <v/>
      </c>
      <c r="R31" s="25" t="str">
        <f>IF(AND('Mapa final'!$Z$40="Media",'Mapa final'!$AB$40="Menor"),CONCATENATE("R6C",'Mapa final'!$P$40),"")</f>
        <v/>
      </c>
      <c r="S31" s="25" t="str">
        <f>IF(AND('Mapa final'!$Z$41="Media",'Mapa final'!$AB$41="Menor"),CONCATENATE("R6C",'Mapa final'!$P$41),"")</f>
        <v/>
      </c>
      <c r="T31" s="25" t="str">
        <f>IF(AND('Mapa final'!$Z$42="Media",'Mapa final'!$AB$42="Menor"),CONCATENATE("R6C",'Mapa final'!$P$42),"")</f>
        <v/>
      </c>
      <c r="U31" s="26" t="str">
        <f>IF(AND('Mapa final'!$Z$43="Media",'Mapa final'!$AB$43="Menor"),CONCATENATE("R6C",'Mapa final'!$P$43),"")</f>
        <v/>
      </c>
      <c r="V31" s="24" t="str">
        <f>IF(AND('Mapa final'!$Z$38="Media",'Mapa final'!$AB$38="Moderado"),CONCATENATE("R6C",'Mapa final'!$P$38),"")</f>
        <v/>
      </c>
      <c r="W31" s="25" t="str">
        <f>IF(AND('Mapa final'!$Z$39="Media",'Mapa final'!$AB$39="Moderado"),CONCATENATE("R6C",'Mapa final'!$P$39),"")</f>
        <v/>
      </c>
      <c r="X31" s="25" t="str">
        <f>IF(AND('Mapa final'!$Z$40="Media",'Mapa final'!$AB$40="Moderado"),CONCATENATE("R6C",'Mapa final'!$P$40),"")</f>
        <v/>
      </c>
      <c r="Y31" s="25" t="str">
        <f>IF(AND('Mapa final'!$Z$41="Media",'Mapa final'!$AB$41="Moderado"),CONCATENATE("R6C",'Mapa final'!$P$41),"")</f>
        <v/>
      </c>
      <c r="Z31" s="25" t="str">
        <f>IF(AND('Mapa final'!$Z$42="Media",'Mapa final'!$AB$42="Moderado"),CONCATENATE("R6C",'Mapa final'!$P$42),"")</f>
        <v/>
      </c>
      <c r="AA31" s="26" t="str">
        <f>IF(AND('Mapa final'!$Z$43="Media",'Mapa final'!$AB$43="Moderado"),CONCATENATE("R6C",'Mapa final'!$P$43),"")</f>
        <v/>
      </c>
      <c r="AB31" s="9" t="str">
        <f>IF(AND('Mapa final'!$Z$38="Media",'Mapa final'!$AB$38="Mayor"),CONCATENATE("R6C",'Mapa final'!$P$38),"")</f>
        <v/>
      </c>
      <c r="AC31" s="10" t="str">
        <f>IF(AND('Mapa final'!$Z$39="Media",'Mapa final'!$AB$39="Mayor"),CONCATENATE("R6C",'Mapa final'!$P$39),"")</f>
        <v/>
      </c>
      <c r="AD31" s="10" t="str">
        <f>IF(AND('Mapa final'!$Z$40="Media",'Mapa final'!$AB$40="Mayor"),CONCATENATE("R6C",'Mapa final'!$P$40),"")</f>
        <v/>
      </c>
      <c r="AE31" s="10" t="str">
        <f>IF(AND('Mapa final'!$Z$41="Media",'Mapa final'!$AB$41="Mayor"),CONCATENATE("R6C",'Mapa final'!$P$41),"")</f>
        <v/>
      </c>
      <c r="AF31" s="10" t="str">
        <f>IF(AND('Mapa final'!$Z$42="Media",'Mapa final'!$AB$42="Mayor"),CONCATENATE("R6C",'Mapa final'!$P$42),"")</f>
        <v/>
      </c>
      <c r="AG31" s="11" t="str">
        <f>IF(AND('Mapa final'!$Z$43="Media",'Mapa final'!$AB$43="Mayor"),CONCATENATE("R6C",'Mapa final'!$P$43),"")</f>
        <v/>
      </c>
      <c r="AH31" s="12" t="str">
        <f>IF(AND('Mapa final'!$Z$38="Media",'Mapa final'!$AB$38="Catastrófico"),CONCATENATE("R6C",'Mapa final'!$P$38),"")</f>
        <v/>
      </c>
      <c r="AI31" s="13" t="str">
        <f>IF(AND('Mapa final'!$Z$39="Media",'Mapa final'!$AB$39="Catastrófico"),CONCATENATE("R6C",'Mapa final'!$P$39),"")</f>
        <v/>
      </c>
      <c r="AJ31" s="13" t="str">
        <f>IF(AND('Mapa final'!$Z$40="Media",'Mapa final'!$AB$40="Catastrófico"),CONCATENATE("R6C",'Mapa final'!$P$40),"")</f>
        <v/>
      </c>
      <c r="AK31" s="13" t="str">
        <f>IF(AND('Mapa final'!$Z$41="Media",'Mapa final'!$AB$41="Catastrófico"),CONCATENATE("R6C",'Mapa final'!$P$41),"")</f>
        <v/>
      </c>
      <c r="AL31" s="13" t="str">
        <f>IF(AND('Mapa final'!$Z$42="Media",'Mapa final'!$AB$42="Catastrófico"),CONCATENATE("R6C",'Mapa final'!$P$42),"")</f>
        <v/>
      </c>
      <c r="AM31" s="14" t="str">
        <f>IF(AND('Mapa final'!$Z$43="Media",'Mapa final'!$AB$43="Catastrófico"),CONCATENATE("R6C",'Mapa final'!$P$43),"")</f>
        <v/>
      </c>
      <c r="AN31" s="40"/>
      <c r="AO31" s="345"/>
      <c r="AP31" s="346"/>
      <c r="AQ31" s="346"/>
      <c r="AR31" s="346"/>
      <c r="AS31" s="346"/>
      <c r="AT31" s="347"/>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row>
    <row r="32" spans="1:76" ht="15" customHeight="1" x14ac:dyDescent="0.25">
      <c r="A32" s="40"/>
      <c r="B32" s="264"/>
      <c r="C32" s="264"/>
      <c r="D32" s="265"/>
      <c r="E32" s="305"/>
      <c r="F32" s="306"/>
      <c r="G32" s="306"/>
      <c r="H32" s="306"/>
      <c r="I32" s="307"/>
      <c r="J32" s="24" t="str">
        <f>IF(AND('Mapa final'!$Z$44="Media",'Mapa final'!$AB$44="Leve"),CONCATENATE("R7C",'Mapa final'!$P$44),"")</f>
        <v/>
      </c>
      <c r="K32" s="25" t="str">
        <f>IF(AND('Mapa final'!$Z$45="Media",'Mapa final'!$AB$45="Leve"),CONCATENATE("R7C",'Mapa final'!$P$45),"")</f>
        <v/>
      </c>
      <c r="L32" s="25" t="str">
        <f>IF(AND('Mapa final'!$Z$46="Media",'Mapa final'!$AB$46="Leve"),CONCATENATE("R7C",'Mapa final'!$P$46),"")</f>
        <v/>
      </c>
      <c r="M32" s="25" t="str">
        <f>IF(AND('Mapa final'!$Z$47="Media",'Mapa final'!$AB$47="Leve"),CONCATENATE("R7C",'Mapa final'!$P$47),"")</f>
        <v/>
      </c>
      <c r="N32" s="25" t="str">
        <f>IF(AND('Mapa final'!$Z$48="Media",'Mapa final'!$AB$48="Leve"),CONCATENATE("R7C",'Mapa final'!$P$48),"")</f>
        <v/>
      </c>
      <c r="O32" s="26" t="str">
        <f>IF(AND('Mapa final'!$Z$49="Media",'Mapa final'!$AB$49="Leve"),CONCATENATE("R7C",'Mapa final'!$P$49),"")</f>
        <v/>
      </c>
      <c r="P32" s="24" t="str">
        <f>IF(AND('Mapa final'!$Z$44="Media",'Mapa final'!$AB$44="Menor"),CONCATENATE("R7C",'Mapa final'!$P$44),"")</f>
        <v/>
      </c>
      <c r="Q32" s="25" t="str">
        <f>IF(AND('Mapa final'!$Z$45="Media",'Mapa final'!$AB$45="Menor"),CONCATENATE("R7C",'Mapa final'!$P$45),"")</f>
        <v/>
      </c>
      <c r="R32" s="25" t="str">
        <f>IF(AND('Mapa final'!$Z$46="Media",'Mapa final'!$AB$46="Menor"),CONCATENATE("R7C",'Mapa final'!$P$46),"")</f>
        <v/>
      </c>
      <c r="S32" s="25" t="str">
        <f>IF(AND('Mapa final'!$Z$47="Media",'Mapa final'!$AB$47="Menor"),CONCATENATE("R7C",'Mapa final'!$P$47),"")</f>
        <v/>
      </c>
      <c r="T32" s="25" t="str">
        <f>IF(AND('Mapa final'!$Z$48="Media",'Mapa final'!$AB$48="Menor"),CONCATENATE("R7C",'Mapa final'!$P$48),"")</f>
        <v/>
      </c>
      <c r="U32" s="26" t="str">
        <f>IF(AND('Mapa final'!$Z$49="Media",'Mapa final'!$AB$49="Menor"),CONCATENATE("R7C",'Mapa final'!$P$49),"")</f>
        <v/>
      </c>
      <c r="V32" s="24" t="str">
        <f>IF(AND('Mapa final'!$Z$44="Media",'Mapa final'!$AB$44="Moderado"),CONCATENATE("R7C",'Mapa final'!$P$44),"")</f>
        <v/>
      </c>
      <c r="W32" s="25" t="str">
        <f>IF(AND('Mapa final'!$Z$45="Media",'Mapa final'!$AB$45="Moderado"),CONCATENATE("R7C",'Mapa final'!$P$45),"")</f>
        <v/>
      </c>
      <c r="X32" s="25" t="str">
        <f>IF(AND('Mapa final'!$Z$46="Media",'Mapa final'!$AB$46="Moderado"),CONCATENATE("R7C",'Mapa final'!$P$46),"")</f>
        <v/>
      </c>
      <c r="Y32" s="25" t="str">
        <f>IF(AND('Mapa final'!$Z$47="Media",'Mapa final'!$AB$47="Moderado"),CONCATENATE("R7C",'Mapa final'!$P$47),"")</f>
        <v/>
      </c>
      <c r="Z32" s="25" t="str">
        <f>IF(AND('Mapa final'!$Z$48="Media",'Mapa final'!$AB$48="Moderado"),CONCATENATE("R7C",'Mapa final'!$P$48),"")</f>
        <v/>
      </c>
      <c r="AA32" s="26" t="str">
        <f>IF(AND('Mapa final'!$Z$49="Media",'Mapa final'!$AB$49="Moderado"),CONCATENATE("R7C",'Mapa final'!$P$49),"")</f>
        <v/>
      </c>
      <c r="AB32" s="9" t="str">
        <f>IF(AND('Mapa final'!$Z$44="Media",'Mapa final'!$AB$44="Mayor"),CONCATENATE("R7C",'Mapa final'!$P$44),"")</f>
        <v/>
      </c>
      <c r="AC32" s="10" t="str">
        <f>IF(AND('Mapa final'!$Z$45="Media",'Mapa final'!$AB$45="Mayor"),CONCATENATE("R7C",'Mapa final'!$P$45),"")</f>
        <v/>
      </c>
      <c r="AD32" s="10" t="str">
        <f>IF(AND('Mapa final'!$Z$46="Media",'Mapa final'!$AB$46="Mayor"),CONCATENATE("R7C",'Mapa final'!$P$46),"")</f>
        <v/>
      </c>
      <c r="AE32" s="10" t="str">
        <f>IF(AND('Mapa final'!$Z$47="Media",'Mapa final'!$AB$47="Mayor"),CONCATENATE("R7C",'Mapa final'!$P$47),"")</f>
        <v/>
      </c>
      <c r="AF32" s="10" t="str">
        <f>IF(AND('Mapa final'!$Z$48="Media",'Mapa final'!$AB$48="Mayor"),CONCATENATE("R7C",'Mapa final'!$P$48),"")</f>
        <v/>
      </c>
      <c r="AG32" s="11" t="str">
        <f>IF(AND('Mapa final'!$Z$49="Media",'Mapa final'!$AB$49="Mayor"),CONCATENATE("R7C",'Mapa final'!$P$49),"")</f>
        <v/>
      </c>
      <c r="AH32" s="12" t="str">
        <f>IF(AND('Mapa final'!$Z$44="Media",'Mapa final'!$AB$44="Catastrófico"),CONCATENATE("R7C",'Mapa final'!$P$44),"")</f>
        <v/>
      </c>
      <c r="AI32" s="13" t="str">
        <f>IF(AND('Mapa final'!$Z$45="Media",'Mapa final'!$AB$45="Catastrófico"),CONCATENATE("R7C",'Mapa final'!$P$45),"")</f>
        <v/>
      </c>
      <c r="AJ32" s="13" t="str">
        <f>IF(AND('Mapa final'!$Z$46="Media",'Mapa final'!$AB$46="Catastrófico"),CONCATENATE("R7C",'Mapa final'!$P$46),"")</f>
        <v/>
      </c>
      <c r="AK32" s="13" t="str">
        <f>IF(AND('Mapa final'!$Z$47="Media",'Mapa final'!$AB$47="Catastrófico"),CONCATENATE("R7C",'Mapa final'!$P$47),"")</f>
        <v/>
      </c>
      <c r="AL32" s="13" t="str">
        <f>IF(AND('Mapa final'!$Z$48="Media",'Mapa final'!$AB$48="Catastrófico"),CONCATENATE("R7C",'Mapa final'!$P$48),"")</f>
        <v/>
      </c>
      <c r="AM32" s="14" t="str">
        <f>IF(AND('Mapa final'!$Z$49="Media",'Mapa final'!$AB$49="Catastrófico"),CONCATENATE("R7C",'Mapa final'!$P$49),"")</f>
        <v/>
      </c>
      <c r="AN32" s="40"/>
      <c r="AO32" s="345"/>
      <c r="AP32" s="346"/>
      <c r="AQ32" s="346"/>
      <c r="AR32" s="346"/>
      <c r="AS32" s="346"/>
      <c r="AT32" s="347"/>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row>
    <row r="33" spans="1:80" ht="15" customHeight="1" x14ac:dyDescent="0.25">
      <c r="A33" s="40"/>
      <c r="B33" s="264"/>
      <c r="C33" s="264"/>
      <c r="D33" s="265"/>
      <c r="E33" s="305"/>
      <c r="F33" s="306"/>
      <c r="G33" s="306"/>
      <c r="H33" s="306"/>
      <c r="I33" s="307"/>
      <c r="J33" s="24" t="str">
        <f>IF(AND('Mapa final'!$Z$50="Media",'Mapa final'!$AB$50="Leve"),CONCATENATE("R8C",'Mapa final'!$P$50),"")</f>
        <v/>
      </c>
      <c r="K33" s="25" t="str">
        <f>IF(AND('Mapa final'!$Z$51="Media",'Mapa final'!$AB$51="Leve"),CONCATENATE("R8C",'Mapa final'!$P$51),"")</f>
        <v/>
      </c>
      <c r="L33" s="25" t="str">
        <f>IF(AND('Mapa final'!$Z$52="Media",'Mapa final'!$AB$52="Leve"),CONCATENATE("R8C",'Mapa final'!$P$52),"")</f>
        <v/>
      </c>
      <c r="M33" s="25" t="str">
        <f>IF(AND('Mapa final'!$Z$53="Media",'Mapa final'!$AB$53="Leve"),CONCATENATE("R8C",'Mapa final'!$P$53),"")</f>
        <v/>
      </c>
      <c r="N33" s="25" t="str">
        <f>IF(AND('Mapa final'!$Z$54="Media",'Mapa final'!$AB$54="Leve"),CONCATENATE("R8C",'Mapa final'!$P$54),"")</f>
        <v/>
      </c>
      <c r="O33" s="26" t="str">
        <f>IF(AND('Mapa final'!$Z$55="Media",'Mapa final'!$AB$55="Leve"),CONCATENATE("R8C",'Mapa final'!$P$55),"")</f>
        <v/>
      </c>
      <c r="P33" s="24" t="str">
        <f>IF(AND('Mapa final'!$Z$50="Media",'Mapa final'!$AB$50="Menor"),CONCATENATE("R8C",'Mapa final'!$P$50),"")</f>
        <v/>
      </c>
      <c r="Q33" s="25" t="str">
        <f>IF(AND('Mapa final'!$Z$51="Media",'Mapa final'!$AB$51="Menor"),CONCATENATE("R8C",'Mapa final'!$P$51),"")</f>
        <v/>
      </c>
      <c r="R33" s="25" t="str">
        <f>IF(AND('Mapa final'!$Z$52="Media",'Mapa final'!$AB$52="Menor"),CONCATENATE("R8C",'Mapa final'!$P$52),"")</f>
        <v/>
      </c>
      <c r="S33" s="25" t="str">
        <f>IF(AND('Mapa final'!$Z$53="Media",'Mapa final'!$AB$53="Menor"),CONCATENATE("R8C",'Mapa final'!$P$53),"")</f>
        <v/>
      </c>
      <c r="T33" s="25" t="str">
        <f>IF(AND('Mapa final'!$Z$54="Media",'Mapa final'!$AB$54="Menor"),CONCATENATE("R8C",'Mapa final'!$P$54),"")</f>
        <v/>
      </c>
      <c r="U33" s="26" t="str">
        <f>IF(AND('Mapa final'!$Z$55="Media",'Mapa final'!$AB$55="Menor"),CONCATENATE("R8C",'Mapa final'!$P$55),"")</f>
        <v/>
      </c>
      <c r="V33" s="24" t="str">
        <f>IF(AND('Mapa final'!$Z$50="Media",'Mapa final'!$AB$50="Moderado"),CONCATENATE("R8C",'Mapa final'!$P$50),"")</f>
        <v/>
      </c>
      <c r="W33" s="25" t="str">
        <f>IF(AND('Mapa final'!$Z$51="Media",'Mapa final'!$AB$51="Moderado"),CONCATENATE("R8C",'Mapa final'!$P$51),"")</f>
        <v/>
      </c>
      <c r="X33" s="25" t="str">
        <f>IF(AND('Mapa final'!$Z$52="Media",'Mapa final'!$AB$52="Moderado"),CONCATENATE("R8C",'Mapa final'!$P$52),"")</f>
        <v/>
      </c>
      <c r="Y33" s="25" t="str">
        <f>IF(AND('Mapa final'!$Z$53="Media",'Mapa final'!$AB$53="Moderado"),CONCATENATE("R8C",'Mapa final'!$P$53),"")</f>
        <v/>
      </c>
      <c r="Z33" s="25" t="str">
        <f>IF(AND('Mapa final'!$Z$54="Media",'Mapa final'!$AB$54="Moderado"),CONCATENATE("R8C",'Mapa final'!$P$54),"")</f>
        <v/>
      </c>
      <c r="AA33" s="26" t="str">
        <f>IF(AND('Mapa final'!$Z$55="Media",'Mapa final'!$AB$55="Moderado"),CONCATENATE("R8C",'Mapa final'!$P$55),"")</f>
        <v/>
      </c>
      <c r="AB33" s="9" t="str">
        <f>IF(AND('Mapa final'!$Z$50="Media",'Mapa final'!$AB$50="Mayor"),CONCATENATE("R8C",'Mapa final'!$P$50),"")</f>
        <v/>
      </c>
      <c r="AC33" s="10" t="str">
        <f>IF(AND('Mapa final'!$Z$51="Media",'Mapa final'!$AB$51="Mayor"),CONCATENATE("R8C",'Mapa final'!$P$51),"")</f>
        <v/>
      </c>
      <c r="AD33" s="10" t="str">
        <f>IF(AND('Mapa final'!$Z$52="Media",'Mapa final'!$AB$52="Mayor"),CONCATENATE("R8C",'Mapa final'!$P$52),"")</f>
        <v/>
      </c>
      <c r="AE33" s="10" t="str">
        <f>IF(AND('Mapa final'!$Z$53="Media",'Mapa final'!$AB$53="Mayor"),CONCATENATE("R8C",'Mapa final'!$P$53),"")</f>
        <v/>
      </c>
      <c r="AF33" s="10" t="str">
        <f>IF(AND('Mapa final'!$Z$54="Media",'Mapa final'!$AB$54="Mayor"),CONCATENATE("R8C",'Mapa final'!$P$54),"")</f>
        <v/>
      </c>
      <c r="AG33" s="11" t="str">
        <f>IF(AND('Mapa final'!$Z$55="Media",'Mapa final'!$AB$55="Mayor"),CONCATENATE("R8C",'Mapa final'!$P$55),"")</f>
        <v/>
      </c>
      <c r="AH33" s="12" t="str">
        <f>IF(AND('Mapa final'!$Z$50="Media",'Mapa final'!$AB$50="Catastrófico"),CONCATENATE("R8C",'Mapa final'!$P$50),"")</f>
        <v/>
      </c>
      <c r="AI33" s="13" t="str">
        <f>IF(AND('Mapa final'!$Z$51="Media",'Mapa final'!$AB$51="Catastrófico"),CONCATENATE("R8C",'Mapa final'!$P$51),"")</f>
        <v/>
      </c>
      <c r="AJ33" s="13" t="str">
        <f>IF(AND('Mapa final'!$Z$52="Media",'Mapa final'!$AB$52="Catastrófico"),CONCATENATE("R8C",'Mapa final'!$P$52),"")</f>
        <v/>
      </c>
      <c r="AK33" s="13" t="str">
        <f>IF(AND('Mapa final'!$Z$53="Media",'Mapa final'!$AB$53="Catastrófico"),CONCATENATE("R8C",'Mapa final'!$P$53),"")</f>
        <v/>
      </c>
      <c r="AL33" s="13" t="str">
        <f>IF(AND('Mapa final'!$Z$54="Media",'Mapa final'!$AB$54="Catastrófico"),CONCATENATE("R8C",'Mapa final'!$P$54),"")</f>
        <v/>
      </c>
      <c r="AM33" s="14" t="str">
        <f>IF(AND('Mapa final'!$Z$55="Media",'Mapa final'!$AB$55="Catastrófico"),CONCATENATE("R8C",'Mapa final'!$P$55),"")</f>
        <v/>
      </c>
      <c r="AN33" s="40"/>
      <c r="AO33" s="345"/>
      <c r="AP33" s="346"/>
      <c r="AQ33" s="346"/>
      <c r="AR33" s="346"/>
      <c r="AS33" s="346"/>
      <c r="AT33" s="347"/>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row>
    <row r="34" spans="1:80" ht="15" customHeight="1" x14ac:dyDescent="0.25">
      <c r="A34" s="40"/>
      <c r="B34" s="264"/>
      <c r="C34" s="264"/>
      <c r="D34" s="265"/>
      <c r="E34" s="305"/>
      <c r="F34" s="306"/>
      <c r="G34" s="306"/>
      <c r="H34" s="306"/>
      <c r="I34" s="307"/>
      <c r="J34" s="24" t="str">
        <f>IF(AND('Mapa final'!$Z$56="Media",'Mapa final'!$AB$56="Leve"),CONCATENATE("R9C",'Mapa final'!$P$56),"")</f>
        <v/>
      </c>
      <c r="K34" s="25" t="str">
        <f>IF(AND('Mapa final'!$Z$57="Media",'Mapa final'!$AB$57="Leve"),CONCATENATE("R9C",'Mapa final'!$P$57),"")</f>
        <v/>
      </c>
      <c r="L34" s="25" t="str">
        <f>IF(AND('Mapa final'!$Z$58="Media",'Mapa final'!$AB$58="Leve"),CONCATENATE("R9C",'Mapa final'!$P$58),"")</f>
        <v/>
      </c>
      <c r="M34" s="25" t="str">
        <f>IF(AND('Mapa final'!$Z$59="Media",'Mapa final'!$AB$59="Leve"),CONCATENATE("R9C",'Mapa final'!$P$59),"")</f>
        <v/>
      </c>
      <c r="N34" s="25" t="str">
        <f>IF(AND('Mapa final'!$Z$60="Media",'Mapa final'!$AB$60="Leve"),CONCATENATE("R9C",'Mapa final'!$P$60),"")</f>
        <v/>
      </c>
      <c r="O34" s="26" t="str">
        <f>IF(AND('Mapa final'!$Z$61="Media",'Mapa final'!$AB$61="Leve"),CONCATENATE("R9C",'Mapa final'!$P$61),"")</f>
        <v/>
      </c>
      <c r="P34" s="24" t="str">
        <f>IF(AND('Mapa final'!$Z$56="Media",'Mapa final'!$AB$56="Menor"),CONCATENATE("R9C",'Mapa final'!$P$56),"")</f>
        <v/>
      </c>
      <c r="Q34" s="25" t="str">
        <f>IF(AND('Mapa final'!$Z$57="Media",'Mapa final'!$AB$57="Menor"),CONCATENATE("R9C",'Mapa final'!$P$57),"")</f>
        <v/>
      </c>
      <c r="R34" s="25" t="str">
        <f>IF(AND('Mapa final'!$Z$58="Media",'Mapa final'!$AB$58="Menor"),CONCATENATE("R9C",'Mapa final'!$P$58),"")</f>
        <v/>
      </c>
      <c r="S34" s="25" t="str">
        <f>IF(AND('Mapa final'!$Z$59="Media",'Mapa final'!$AB$59="Menor"),CONCATENATE("R9C",'Mapa final'!$P$59),"")</f>
        <v/>
      </c>
      <c r="T34" s="25" t="str">
        <f>IF(AND('Mapa final'!$Z$60="Media",'Mapa final'!$AB$60="Menor"),CONCATENATE("R9C",'Mapa final'!$P$60),"")</f>
        <v/>
      </c>
      <c r="U34" s="26" t="str">
        <f>IF(AND('Mapa final'!$Z$61="Media",'Mapa final'!$AB$61="Menor"),CONCATENATE("R9C",'Mapa final'!$P$61),"")</f>
        <v/>
      </c>
      <c r="V34" s="24" t="str">
        <f>IF(AND('Mapa final'!$Z$56="Media",'Mapa final'!$AB$56="Moderado"),CONCATENATE("R9C",'Mapa final'!$P$56),"")</f>
        <v/>
      </c>
      <c r="W34" s="25" t="str">
        <f>IF(AND('Mapa final'!$Z$57="Media",'Mapa final'!$AB$57="Moderado"),CONCATENATE("R9C",'Mapa final'!$P$57),"")</f>
        <v/>
      </c>
      <c r="X34" s="25" t="str">
        <f>IF(AND('Mapa final'!$Z$58="Media",'Mapa final'!$AB$58="Moderado"),CONCATENATE("R9C",'Mapa final'!$P$58),"")</f>
        <v/>
      </c>
      <c r="Y34" s="25" t="str">
        <f>IF(AND('Mapa final'!$Z$59="Media",'Mapa final'!$AB$59="Moderado"),CONCATENATE("R9C",'Mapa final'!$P$59),"")</f>
        <v/>
      </c>
      <c r="Z34" s="25" t="str">
        <f>IF(AND('Mapa final'!$Z$60="Media",'Mapa final'!$AB$60="Moderado"),CONCATENATE("R9C",'Mapa final'!$P$60),"")</f>
        <v/>
      </c>
      <c r="AA34" s="26" t="str">
        <f>IF(AND('Mapa final'!$Z$61="Media",'Mapa final'!$AB$61="Moderado"),CONCATENATE("R9C",'Mapa final'!$P$61),"")</f>
        <v/>
      </c>
      <c r="AB34" s="9" t="str">
        <f>IF(AND('Mapa final'!$Z$56="Media",'Mapa final'!$AB$56="Mayor"),CONCATENATE("R9C",'Mapa final'!$P$56),"")</f>
        <v/>
      </c>
      <c r="AC34" s="10" t="str">
        <f>IF(AND('Mapa final'!$Z$57="Media",'Mapa final'!$AB$57="Mayor"),CONCATENATE("R9C",'Mapa final'!$P$57),"")</f>
        <v/>
      </c>
      <c r="AD34" s="10" t="str">
        <f>IF(AND('Mapa final'!$Z$58="Media",'Mapa final'!$AB$58="Mayor"),CONCATENATE("R9C",'Mapa final'!$P$58),"")</f>
        <v/>
      </c>
      <c r="AE34" s="10" t="str">
        <f>IF(AND('Mapa final'!$Z$59="Media",'Mapa final'!$AB$59="Mayor"),CONCATENATE("R9C",'Mapa final'!$P$59),"")</f>
        <v/>
      </c>
      <c r="AF34" s="10" t="str">
        <f>IF(AND('Mapa final'!$Z$60="Media",'Mapa final'!$AB$60="Mayor"),CONCATENATE("R9C",'Mapa final'!$P$60),"")</f>
        <v/>
      </c>
      <c r="AG34" s="11" t="str">
        <f>IF(AND('Mapa final'!$Z$61="Media",'Mapa final'!$AB$61="Mayor"),CONCATENATE("R9C",'Mapa final'!$P$61),"")</f>
        <v/>
      </c>
      <c r="AH34" s="12" t="str">
        <f>IF(AND('Mapa final'!$Z$56="Media",'Mapa final'!$AB$56="Catastrófico"),CONCATENATE("R9C",'Mapa final'!$P$56),"")</f>
        <v/>
      </c>
      <c r="AI34" s="13" t="str">
        <f>IF(AND('Mapa final'!$Z$57="Media",'Mapa final'!$AB$57="Catastrófico"),CONCATENATE("R9C",'Mapa final'!$P$57),"")</f>
        <v/>
      </c>
      <c r="AJ34" s="13" t="str">
        <f>IF(AND('Mapa final'!$Z$58="Media",'Mapa final'!$AB$58="Catastrófico"),CONCATENATE("R9C",'Mapa final'!$P$58),"")</f>
        <v/>
      </c>
      <c r="AK34" s="13" t="str">
        <f>IF(AND('Mapa final'!$Z$59="Media",'Mapa final'!$AB$59="Catastrófico"),CONCATENATE("R9C",'Mapa final'!$P$59),"")</f>
        <v/>
      </c>
      <c r="AL34" s="13" t="str">
        <f>IF(AND('Mapa final'!$Z$60="Media",'Mapa final'!$AB$60="Catastrófico"),CONCATENATE("R9C",'Mapa final'!$P$60),"")</f>
        <v/>
      </c>
      <c r="AM34" s="14" t="str">
        <f>IF(AND('Mapa final'!$Z$61="Media",'Mapa final'!$AB$61="Catastrófico"),CONCATENATE("R9C",'Mapa final'!$P$61),"")</f>
        <v/>
      </c>
      <c r="AN34" s="40"/>
      <c r="AO34" s="345"/>
      <c r="AP34" s="346"/>
      <c r="AQ34" s="346"/>
      <c r="AR34" s="346"/>
      <c r="AS34" s="346"/>
      <c r="AT34" s="347"/>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row>
    <row r="35" spans="1:80" ht="15.75" customHeight="1" thickBot="1" x14ac:dyDescent="0.3">
      <c r="A35" s="40"/>
      <c r="B35" s="264"/>
      <c r="C35" s="264"/>
      <c r="D35" s="265"/>
      <c r="E35" s="308"/>
      <c r="F35" s="309"/>
      <c r="G35" s="309"/>
      <c r="H35" s="309"/>
      <c r="I35" s="310"/>
      <c r="J35" s="24" t="e">
        <f>IF(AND('Mapa final'!#REF!="Media",'Mapa final'!#REF!="Leve"),CONCATENATE("R10C",'Mapa final'!#REF!),"")</f>
        <v>#REF!</v>
      </c>
      <c r="K35" s="25" t="e">
        <f>IF(AND('Mapa final'!#REF!="Media",'Mapa final'!#REF!="Leve"),CONCATENATE("R10C",'Mapa final'!#REF!),"")</f>
        <v>#REF!</v>
      </c>
      <c r="L35" s="25" t="e">
        <f>IF(AND('Mapa final'!#REF!="Media",'Mapa final'!#REF!="Leve"),CONCATENATE("R10C",'Mapa final'!#REF!),"")</f>
        <v>#REF!</v>
      </c>
      <c r="M35" s="25" t="e">
        <f>IF(AND('Mapa final'!#REF!="Media",'Mapa final'!#REF!="Leve"),CONCATENATE("R10C",'Mapa final'!#REF!),"")</f>
        <v>#REF!</v>
      </c>
      <c r="N35" s="25" t="e">
        <f>IF(AND('Mapa final'!#REF!="Media",'Mapa final'!#REF!="Leve"),CONCATENATE("R10C",'Mapa final'!#REF!),"")</f>
        <v>#REF!</v>
      </c>
      <c r="O35" s="26" t="e">
        <f>IF(AND('Mapa final'!#REF!="Media",'Mapa final'!#REF!="Leve"),CONCATENATE("R10C",'Mapa final'!#REF!),"")</f>
        <v>#REF!</v>
      </c>
      <c r="P35" s="24" t="e">
        <f>IF(AND('Mapa final'!#REF!="Media",'Mapa final'!#REF!="Menor"),CONCATENATE("R10C",'Mapa final'!#REF!),"")</f>
        <v>#REF!</v>
      </c>
      <c r="Q35" s="25" t="e">
        <f>IF(AND('Mapa final'!#REF!="Media",'Mapa final'!#REF!="Menor"),CONCATENATE("R10C",'Mapa final'!#REF!),"")</f>
        <v>#REF!</v>
      </c>
      <c r="R35" s="25" t="e">
        <f>IF(AND('Mapa final'!#REF!="Media",'Mapa final'!#REF!="Menor"),CONCATENATE("R10C",'Mapa final'!#REF!),"")</f>
        <v>#REF!</v>
      </c>
      <c r="S35" s="25" t="e">
        <f>IF(AND('Mapa final'!#REF!="Media",'Mapa final'!#REF!="Menor"),CONCATENATE("R10C",'Mapa final'!#REF!),"")</f>
        <v>#REF!</v>
      </c>
      <c r="T35" s="25" t="e">
        <f>IF(AND('Mapa final'!#REF!="Media",'Mapa final'!#REF!="Menor"),CONCATENATE("R10C",'Mapa final'!#REF!),"")</f>
        <v>#REF!</v>
      </c>
      <c r="U35" s="26" t="e">
        <f>IF(AND('Mapa final'!#REF!="Media",'Mapa final'!#REF!="Menor"),CONCATENATE("R10C",'Mapa final'!#REF!),"")</f>
        <v>#REF!</v>
      </c>
      <c r="V35" s="24" t="e">
        <f>IF(AND('Mapa final'!#REF!="Media",'Mapa final'!#REF!="Moderado"),CONCATENATE("R10C",'Mapa final'!#REF!),"")</f>
        <v>#REF!</v>
      </c>
      <c r="W35" s="25" t="e">
        <f>IF(AND('Mapa final'!#REF!="Media",'Mapa final'!#REF!="Moderado"),CONCATENATE("R10C",'Mapa final'!#REF!),"")</f>
        <v>#REF!</v>
      </c>
      <c r="X35" s="25" t="e">
        <f>IF(AND('Mapa final'!#REF!="Media",'Mapa final'!#REF!="Moderado"),CONCATENATE("R10C",'Mapa final'!#REF!),"")</f>
        <v>#REF!</v>
      </c>
      <c r="Y35" s="25" t="e">
        <f>IF(AND('Mapa final'!#REF!="Media",'Mapa final'!#REF!="Moderado"),CONCATENATE("R10C",'Mapa final'!#REF!),"")</f>
        <v>#REF!</v>
      </c>
      <c r="Z35" s="25" t="e">
        <f>IF(AND('Mapa final'!#REF!="Media",'Mapa final'!#REF!="Moderado"),CONCATENATE("R10C",'Mapa final'!#REF!),"")</f>
        <v>#REF!</v>
      </c>
      <c r="AA35" s="26" t="e">
        <f>IF(AND('Mapa final'!#REF!="Media",'Mapa final'!#REF!="Moderado"),CONCATENATE("R10C",'Mapa final'!#REF!),"")</f>
        <v>#REF!</v>
      </c>
      <c r="AB35" s="15" t="e">
        <f>IF(AND('Mapa final'!#REF!="Media",'Mapa final'!#REF!="Mayor"),CONCATENATE("R10C",'Mapa final'!#REF!),"")</f>
        <v>#REF!</v>
      </c>
      <c r="AC35" s="16" t="e">
        <f>IF(AND('Mapa final'!#REF!="Media",'Mapa final'!#REF!="Mayor"),CONCATENATE("R10C",'Mapa final'!#REF!),"")</f>
        <v>#REF!</v>
      </c>
      <c r="AD35" s="16" t="e">
        <f>IF(AND('Mapa final'!#REF!="Media",'Mapa final'!#REF!="Mayor"),CONCATENATE("R10C",'Mapa final'!#REF!),"")</f>
        <v>#REF!</v>
      </c>
      <c r="AE35" s="16" t="e">
        <f>IF(AND('Mapa final'!#REF!="Media",'Mapa final'!#REF!="Mayor"),CONCATENATE("R10C",'Mapa final'!#REF!),"")</f>
        <v>#REF!</v>
      </c>
      <c r="AF35" s="16" t="e">
        <f>IF(AND('Mapa final'!#REF!="Media",'Mapa final'!#REF!="Mayor"),CONCATENATE("R10C",'Mapa final'!#REF!),"")</f>
        <v>#REF!</v>
      </c>
      <c r="AG35" s="17" t="e">
        <f>IF(AND('Mapa final'!#REF!="Media",'Mapa final'!#REF!="Mayor"),CONCATENATE("R10C",'Mapa final'!#REF!),"")</f>
        <v>#REF!</v>
      </c>
      <c r="AH35" s="18" t="e">
        <f>IF(AND('Mapa final'!#REF!="Media",'Mapa final'!#REF!="Catastrófico"),CONCATENATE("R10C",'Mapa final'!#REF!),"")</f>
        <v>#REF!</v>
      </c>
      <c r="AI35" s="19" t="e">
        <f>IF(AND('Mapa final'!#REF!="Media",'Mapa final'!#REF!="Catastrófico"),CONCATENATE("R10C",'Mapa final'!#REF!),"")</f>
        <v>#REF!</v>
      </c>
      <c r="AJ35" s="19" t="e">
        <f>IF(AND('Mapa final'!#REF!="Media",'Mapa final'!#REF!="Catastrófico"),CONCATENATE("R10C",'Mapa final'!#REF!),"")</f>
        <v>#REF!</v>
      </c>
      <c r="AK35" s="19" t="e">
        <f>IF(AND('Mapa final'!#REF!="Media",'Mapa final'!#REF!="Catastrófico"),CONCATENATE("R10C",'Mapa final'!#REF!),"")</f>
        <v>#REF!</v>
      </c>
      <c r="AL35" s="19" t="e">
        <f>IF(AND('Mapa final'!#REF!="Media",'Mapa final'!#REF!="Catastrófico"),CONCATENATE("R10C",'Mapa final'!#REF!),"")</f>
        <v>#REF!</v>
      </c>
      <c r="AM35" s="20" t="e">
        <f>IF(AND('Mapa final'!#REF!="Media",'Mapa final'!#REF!="Catastrófico"),CONCATENATE("R10C",'Mapa final'!#REF!),"")</f>
        <v>#REF!</v>
      </c>
      <c r="AN35" s="40"/>
      <c r="AO35" s="348"/>
      <c r="AP35" s="349"/>
      <c r="AQ35" s="349"/>
      <c r="AR35" s="349"/>
      <c r="AS35" s="349"/>
      <c r="AT35" s="35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row>
    <row r="36" spans="1:80" ht="15" customHeight="1" x14ac:dyDescent="0.25">
      <c r="A36" s="40"/>
      <c r="B36" s="264"/>
      <c r="C36" s="264"/>
      <c r="D36" s="265"/>
      <c r="E36" s="302" t="s">
        <v>49</v>
      </c>
      <c r="F36" s="303"/>
      <c r="G36" s="303"/>
      <c r="H36" s="303"/>
      <c r="I36" s="303"/>
      <c r="J36" s="30" t="str">
        <f>IF(AND('Mapa final'!$Z$8="Baja",'Mapa final'!$AB$8="Leve"),CONCATENATE("R1C",'Mapa final'!$P$8),"")</f>
        <v/>
      </c>
      <c r="K36" s="31" t="str">
        <f>IF(AND('Mapa final'!$Z$9="Baja",'Mapa final'!$AB$9="Leve"),CONCATENATE("R1C",'Mapa final'!$P$9),"")</f>
        <v/>
      </c>
      <c r="L36" s="31" t="str">
        <f>IF(AND('Mapa final'!$Z$10="Baja",'Mapa final'!$AB$10="Leve"),CONCATENATE("R1C",'Mapa final'!$P$10),"")</f>
        <v/>
      </c>
      <c r="M36" s="31" t="str">
        <f>IF(AND('Mapa final'!$Z$11="Baja",'Mapa final'!$AB$11="Leve"),CONCATENATE("R1C",'Mapa final'!$P$11),"")</f>
        <v/>
      </c>
      <c r="N36" s="31" t="str">
        <f>IF(AND('Mapa final'!$Z$12="Baja",'Mapa final'!$AB$12="Leve"),CONCATENATE("R1C",'Mapa final'!$P$12),"")</f>
        <v/>
      </c>
      <c r="O36" s="32" t="str">
        <f>IF(AND('Mapa final'!$Z$13="Baja",'Mapa final'!$AB$13="Leve"),CONCATENATE("R1C",'Mapa final'!$P$13),"")</f>
        <v/>
      </c>
      <c r="P36" s="21" t="str">
        <f>IF(AND('Mapa final'!$Z$8="Baja",'Mapa final'!$AB$8="Menor"),CONCATENATE("R1C",'Mapa final'!$P$8),"")</f>
        <v/>
      </c>
      <c r="Q36" s="22" t="str">
        <f>IF(AND('Mapa final'!$Z$9="Baja",'Mapa final'!$AB$9="Menor"),CONCATENATE("R1C",'Mapa final'!$P$9),"")</f>
        <v/>
      </c>
      <c r="R36" s="22" t="str">
        <f>IF(AND('Mapa final'!$Z$10="Baja",'Mapa final'!$AB$10="Menor"),CONCATENATE("R1C",'Mapa final'!$P$10),"")</f>
        <v/>
      </c>
      <c r="S36" s="22" t="str">
        <f>IF(AND('Mapa final'!$Z$11="Baja",'Mapa final'!$AB$11="Menor"),CONCATENATE("R1C",'Mapa final'!$P$11),"")</f>
        <v/>
      </c>
      <c r="T36" s="22" t="str">
        <f>IF(AND('Mapa final'!$Z$12="Baja",'Mapa final'!$AB$12="Menor"),CONCATENATE("R1C",'Mapa final'!$P$12),"")</f>
        <v/>
      </c>
      <c r="U36" s="23" t="str">
        <f>IF(AND('Mapa final'!$Z$13="Baja",'Mapa final'!$AB$13="Menor"),CONCATENATE("R1C",'Mapa final'!$P$13),"")</f>
        <v/>
      </c>
      <c r="V36" s="21" t="str">
        <f>IF(AND('Mapa final'!$Z$8="Baja",'Mapa final'!$AB$8="Moderado"),CONCATENATE("R1C",'Mapa final'!$P$8),"")</f>
        <v/>
      </c>
      <c r="W36" s="22" t="str">
        <f>IF(AND('Mapa final'!$Z$9="Baja",'Mapa final'!$AB$9="Moderado"),CONCATENATE("R1C",'Mapa final'!$P$9),"")</f>
        <v/>
      </c>
      <c r="X36" s="22" t="str">
        <f>IF(AND('Mapa final'!$Z$10="Baja",'Mapa final'!$AB$10="Moderado"),CONCATENATE("R1C",'Mapa final'!$P$10),"")</f>
        <v/>
      </c>
      <c r="Y36" s="22" t="str">
        <f>IF(AND('Mapa final'!$Z$11="Baja",'Mapa final'!$AB$11="Moderado"),CONCATENATE("R1C",'Mapa final'!$P$11),"")</f>
        <v/>
      </c>
      <c r="Z36" s="22" t="str">
        <f>IF(AND('Mapa final'!$Z$12="Baja",'Mapa final'!$AB$12="Moderado"),CONCATENATE("R1C",'Mapa final'!$P$12),"")</f>
        <v/>
      </c>
      <c r="AA36" s="23" t="str">
        <f>IF(AND('Mapa final'!$Z$13="Baja",'Mapa final'!$AB$13="Moderado"),CONCATENATE("R1C",'Mapa final'!$P$13),"")</f>
        <v/>
      </c>
      <c r="AB36" s="3" t="str">
        <f>IF(AND('Mapa final'!$Z$8="Baja",'Mapa final'!$AB$8="Mayor"),CONCATENATE("R1C",'Mapa final'!$P$8),"")</f>
        <v/>
      </c>
      <c r="AC36" s="4" t="str">
        <f>IF(AND('Mapa final'!$Z$9="Baja",'Mapa final'!$AB$9="Mayor"),CONCATENATE("R1C",'Mapa final'!$P$9),"")</f>
        <v/>
      </c>
      <c r="AD36" s="4" t="str">
        <f>IF(AND('Mapa final'!$Z$10="Baja",'Mapa final'!$AB$10="Mayor"),CONCATENATE("R1C",'Mapa final'!$P$10),"")</f>
        <v/>
      </c>
      <c r="AE36" s="4" t="str">
        <f>IF(AND('Mapa final'!$Z$11="Baja",'Mapa final'!$AB$11="Mayor"),CONCATENATE("R1C",'Mapa final'!$P$11),"")</f>
        <v/>
      </c>
      <c r="AF36" s="4" t="str">
        <f>IF(AND('Mapa final'!$Z$12="Baja",'Mapa final'!$AB$12="Mayor"),CONCATENATE("R1C",'Mapa final'!$P$12),"")</f>
        <v/>
      </c>
      <c r="AG36" s="5" t="str">
        <f>IF(AND('Mapa final'!$Z$13="Baja",'Mapa final'!$AB$13="Mayor"),CONCATENATE("R1C",'Mapa final'!$P$13),"")</f>
        <v/>
      </c>
      <c r="AH36" s="6" t="str">
        <f>IF(AND('Mapa final'!$Z$8="Baja",'Mapa final'!$AB$8="Catastrófico"),CONCATENATE("R1C",'Mapa final'!$P$8),"")</f>
        <v/>
      </c>
      <c r="AI36" s="7" t="str">
        <f>IF(AND('Mapa final'!$Z$9="Baja",'Mapa final'!$AB$9="Catastrófico"),CONCATENATE("R1C",'Mapa final'!$P$9),"")</f>
        <v/>
      </c>
      <c r="AJ36" s="7" t="str">
        <f>IF(AND('Mapa final'!$Z$10="Baja",'Mapa final'!$AB$10="Catastrófico"),CONCATENATE("R1C",'Mapa final'!$P$10),"")</f>
        <v/>
      </c>
      <c r="AK36" s="7" t="str">
        <f>IF(AND('Mapa final'!$Z$11="Baja",'Mapa final'!$AB$11="Catastrófico"),CONCATENATE("R1C",'Mapa final'!$P$11),"")</f>
        <v/>
      </c>
      <c r="AL36" s="7" t="str">
        <f>IF(AND('Mapa final'!$Z$12="Baja",'Mapa final'!$AB$12="Catastrófico"),CONCATENATE("R1C",'Mapa final'!$P$12),"")</f>
        <v/>
      </c>
      <c r="AM36" s="8" t="str">
        <f>IF(AND('Mapa final'!$Z$13="Baja",'Mapa final'!$AB$13="Catastrófico"),CONCATENATE("R1C",'Mapa final'!$P$13),"")</f>
        <v/>
      </c>
      <c r="AN36" s="40"/>
      <c r="AO36" s="333" t="s">
        <v>50</v>
      </c>
      <c r="AP36" s="334"/>
      <c r="AQ36" s="334"/>
      <c r="AR36" s="334"/>
      <c r="AS36" s="334"/>
      <c r="AT36" s="335"/>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row>
    <row r="37" spans="1:80" ht="15" customHeight="1" x14ac:dyDescent="0.25">
      <c r="A37" s="40"/>
      <c r="B37" s="264"/>
      <c r="C37" s="264"/>
      <c r="D37" s="265"/>
      <c r="E37" s="321"/>
      <c r="F37" s="306"/>
      <c r="G37" s="306"/>
      <c r="H37" s="306"/>
      <c r="I37" s="306"/>
      <c r="J37" s="33" t="str">
        <f>IF(AND('Mapa final'!$Z$14="Baja",'Mapa final'!$AB$14="Leve"),CONCATENATE("R2C",'Mapa final'!$P$14),"")</f>
        <v/>
      </c>
      <c r="K37" s="34" t="str">
        <f>IF(AND('Mapa final'!$Z$15="Baja",'Mapa final'!$AB$15="Leve"),CONCATENATE("R2C",'Mapa final'!$P$15),"")</f>
        <v/>
      </c>
      <c r="L37" s="34" t="str">
        <f>IF(AND('Mapa final'!$Z$16="Baja",'Mapa final'!$AB$16="Leve"),CONCATENATE("R2C",'Mapa final'!$P$16),"")</f>
        <v/>
      </c>
      <c r="M37" s="34" t="str">
        <f>IF(AND('Mapa final'!$Z$17="Baja",'Mapa final'!$AB$17="Leve"),CONCATENATE("R2C",'Mapa final'!$P$17),"")</f>
        <v/>
      </c>
      <c r="N37" s="34" t="str">
        <f>IF(AND('Mapa final'!$Z$18="Baja",'Mapa final'!$AB$18="Leve"),CONCATENATE("R2C",'Mapa final'!$P$18),"")</f>
        <v/>
      </c>
      <c r="O37" s="35" t="str">
        <f>IF(AND('Mapa final'!$Z$19="Baja",'Mapa final'!$AB$19="Leve"),CONCATENATE("R2C",'Mapa final'!$P$19),"")</f>
        <v/>
      </c>
      <c r="P37" s="24" t="str">
        <f>IF(AND('Mapa final'!$Z$14="Baja",'Mapa final'!$AB$14="Menor"),CONCATENATE("R2C",'Mapa final'!$P$14),"")</f>
        <v/>
      </c>
      <c r="Q37" s="25" t="str">
        <f>IF(AND('Mapa final'!$Z$15="Baja",'Mapa final'!$AB$15="Menor"),CONCATENATE("R2C",'Mapa final'!$P$15),"")</f>
        <v/>
      </c>
      <c r="R37" s="25" t="str">
        <f>IF(AND('Mapa final'!$Z$16="Baja",'Mapa final'!$AB$16="Menor"),CONCATENATE("R2C",'Mapa final'!$P$16),"")</f>
        <v/>
      </c>
      <c r="S37" s="25" t="str">
        <f>IF(AND('Mapa final'!$Z$17="Baja",'Mapa final'!$AB$17="Menor"),CONCATENATE("R2C",'Mapa final'!$P$17),"")</f>
        <v/>
      </c>
      <c r="T37" s="25" t="str">
        <f>IF(AND('Mapa final'!$Z$18="Baja",'Mapa final'!$AB$18="Menor"),CONCATENATE("R2C",'Mapa final'!$P$18),"")</f>
        <v/>
      </c>
      <c r="U37" s="26" t="str">
        <f>IF(AND('Mapa final'!$Z$19="Baja",'Mapa final'!$AB$19="Menor"),CONCATENATE("R2C",'Mapa final'!$P$19),"")</f>
        <v/>
      </c>
      <c r="V37" s="24" t="str">
        <f>IF(AND('Mapa final'!$Z$14="Baja",'Mapa final'!$AB$14="Moderado"),CONCATENATE("R2C",'Mapa final'!$P$14),"")</f>
        <v/>
      </c>
      <c r="W37" s="25" t="str">
        <f>IF(AND('Mapa final'!$Z$15="Baja",'Mapa final'!$AB$15="Moderado"),CONCATENATE("R2C",'Mapa final'!$P$15),"")</f>
        <v/>
      </c>
      <c r="X37" s="25" t="str">
        <f>IF(AND('Mapa final'!$Z$16="Baja",'Mapa final'!$AB$16="Moderado"),CONCATENATE("R2C",'Mapa final'!$P$16),"")</f>
        <v/>
      </c>
      <c r="Y37" s="25" t="str">
        <f>IF(AND('Mapa final'!$Z$17="Baja",'Mapa final'!$AB$17="Moderado"),CONCATENATE("R2C",'Mapa final'!$P$17),"")</f>
        <v/>
      </c>
      <c r="Z37" s="25" t="str">
        <f>IF(AND('Mapa final'!$Z$18="Baja",'Mapa final'!$AB$18="Moderado"),CONCATENATE("R2C",'Mapa final'!$P$18),"")</f>
        <v/>
      </c>
      <c r="AA37" s="26" t="str">
        <f>IF(AND('Mapa final'!$Z$19="Baja",'Mapa final'!$AB$19="Moderado"),CONCATENATE("R2C",'Mapa final'!$P$19),"")</f>
        <v/>
      </c>
      <c r="AB37" s="9" t="str">
        <f>IF(AND('Mapa final'!$Z$14="Baja",'Mapa final'!$AB$14="Mayor"),CONCATENATE("R2C",'Mapa final'!$P$14),"")</f>
        <v/>
      </c>
      <c r="AC37" s="10" t="str">
        <f>IF(AND('Mapa final'!$Z$15="Baja",'Mapa final'!$AB$15="Mayor"),CONCATENATE("R2C",'Mapa final'!$P$15),"")</f>
        <v/>
      </c>
      <c r="AD37" s="10" t="str">
        <f>IF(AND('Mapa final'!$Z$16="Baja",'Mapa final'!$AB$16="Mayor"),CONCATENATE("R2C",'Mapa final'!$P$16),"")</f>
        <v/>
      </c>
      <c r="AE37" s="10" t="str">
        <f>IF(AND('Mapa final'!$Z$17="Baja",'Mapa final'!$AB$17="Mayor"),CONCATENATE("R2C",'Mapa final'!$P$17),"")</f>
        <v/>
      </c>
      <c r="AF37" s="10" t="str">
        <f>IF(AND('Mapa final'!$Z$18="Baja",'Mapa final'!$AB$18="Mayor"),CONCATENATE("R2C",'Mapa final'!$P$18),"")</f>
        <v/>
      </c>
      <c r="AG37" s="11" t="str">
        <f>IF(AND('Mapa final'!$Z$19="Baja",'Mapa final'!$AB$19="Mayor"),CONCATENATE("R2C",'Mapa final'!$P$19),"")</f>
        <v/>
      </c>
      <c r="AH37" s="12" t="str">
        <f>IF(AND('Mapa final'!$Z$14="Baja",'Mapa final'!$AB$14="Catastrófico"),CONCATENATE("R2C",'Mapa final'!$P$14),"")</f>
        <v/>
      </c>
      <c r="AI37" s="13" t="str">
        <f>IF(AND('Mapa final'!$Z$15="Baja",'Mapa final'!$AB$15="Catastrófico"),CONCATENATE("R2C",'Mapa final'!$P$15),"")</f>
        <v/>
      </c>
      <c r="AJ37" s="13" t="str">
        <f>IF(AND('Mapa final'!$Z$16="Baja",'Mapa final'!$AB$16="Catastrófico"),CONCATENATE("R2C",'Mapa final'!$P$16),"")</f>
        <v/>
      </c>
      <c r="AK37" s="13" t="str">
        <f>IF(AND('Mapa final'!$Z$17="Baja",'Mapa final'!$AB$17="Catastrófico"),CONCATENATE("R2C",'Mapa final'!$P$17),"")</f>
        <v/>
      </c>
      <c r="AL37" s="13" t="str">
        <f>IF(AND('Mapa final'!$Z$18="Baja",'Mapa final'!$AB$18="Catastrófico"),CONCATENATE("R2C",'Mapa final'!$P$18),"")</f>
        <v/>
      </c>
      <c r="AM37" s="14" t="str">
        <f>IF(AND('Mapa final'!$Z$19="Baja",'Mapa final'!$AB$19="Catastrófico"),CONCATENATE("R2C",'Mapa final'!$P$19),"")</f>
        <v/>
      </c>
      <c r="AN37" s="40"/>
      <c r="AO37" s="336"/>
      <c r="AP37" s="337"/>
      <c r="AQ37" s="337"/>
      <c r="AR37" s="337"/>
      <c r="AS37" s="337"/>
      <c r="AT37" s="338"/>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row>
    <row r="38" spans="1:80" ht="15" customHeight="1" x14ac:dyDescent="0.25">
      <c r="A38" s="40"/>
      <c r="B38" s="264"/>
      <c r="C38" s="264"/>
      <c r="D38" s="265"/>
      <c r="E38" s="305"/>
      <c r="F38" s="306"/>
      <c r="G38" s="306"/>
      <c r="H38" s="306"/>
      <c r="I38" s="306"/>
      <c r="J38" s="33" t="str">
        <f>IF(AND('Mapa final'!$Z$20="Baja",'Mapa final'!$AB$20="Leve"),CONCATENATE("R3C",'Mapa final'!$P$20),"")</f>
        <v/>
      </c>
      <c r="K38" s="34" t="str">
        <f>IF(AND('Mapa final'!$Z$21="Baja",'Mapa final'!$AB$21="Leve"),CONCATENATE("R3C",'Mapa final'!$P$21),"")</f>
        <v/>
      </c>
      <c r="L38" s="34" t="str">
        <f>IF(AND('Mapa final'!$Z$22="Baja",'Mapa final'!$AB$22="Leve"),CONCATENATE("R3C",'Mapa final'!$P$22),"")</f>
        <v/>
      </c>
      <c r="M38" s="34" t="str">
        <f>IF(AND('Mapa final'!$Z$23="Baja",'Mapa final'!$AB$23="Leve"),CONCATENATE("R3C",'Mapa final'!$P$23),"")</f>
        <v/>
      </c>
      <c r="N38" s="34" t="str">
        <f>IF(AND('Mapa final'!$Z$24="Baja",'Mapa final'!$AB$24="Leve"),CONCATENATE("R3C",'Mapa final'!$P$24),"")</f>
        <v/>
      </c>
      <c r="O38" s="35" t="str">
        <f>IF(AND('Mapa final'!$Z$25="Baja",'Mapa final'!$AB$25="Leve"),CONCATENATE("R3C",'Mapa final'!$P$25),"")</f>
        <v/>
      </c>
      <c r="P38" s="24" t="str">
        <f>IF(AND('Mapa final'!$Z$20="Baja",'Mapa final'!$AB$20="Menor"),CONCATENATE("R3C",'Mapa final'!$P$20),"")</f>
        <v/>
      </c>
      <c r="Q38" s="25" t="str">
        <f>IF(AND('Mapa final'!$Z$21="Baja",'Mapa final'!$AB$21="Menor"),CONCATENATE("R3C",'Mapa final'!$P$21),"")</f>
        <v/>
      </c>
      <c r="R38" s="25" t="str">
        <f>IF(AND('Mapa final'!$Z$22="Baja",'Mapa final'!$AB$22="Menor"),CONCATENATE("R3C",'Mapa final'!$P$22),"")</f>
        <v/>
      </c>
      <c r="S38" s="25" t="str">
        <f>IF(AND('Mapa final'!$Z$23="Baja",'Mapa final'!$AB$23="Menor"),CONCATENATE("R3C",'Mapa final'!$P$23),"")</f>
        <v/>
      </c>
      <c r="T38" s="25" t="str">
        <f>IF(AND('Mapa final'!$Z$24="Baja",'Mapa final'!$AB$24="Menor"),CONCATENATE("R3C",'Mapa final'!$P$24),"")</f>
        <v/>
      </c>
      <c r="U38" s="26" t="str">
        <f>IF(AND('Mapa final'!$Z$25="Baja",'Mapa final'!$AB$25="Menor"),CONCATENATE("R3C",'Mapa final'!$P$25),"")</f>
        <v/>
      </c>
      <c r="V38" s="24" t="str">
        <f>IF(AND('Mapa final'!$Z$20="Baja",'Mapa final'!$AB$20="Moderado"),CONCATENATE("R3C",'Mapa final'!$P$20),"")</f>
        <v/>
      </c>
      <c r="W38" s="25" t="str">
        <f>IF(AND('Mapa final'!$Z$21="Baja",'Mapa final'!$AB$21="Moderado"),CONCATENATE("R3C",'Mapa final'!$P$21),"")</f>
        <v/>
      </c>
      <c r="X38" s="25" t="str">
        <f>IF(AND('Mapa final'!$Z$22="Baja",'Mapa final'!$AB$22="Moderado"),CONCATENATE("R3C",'Mapa final'!$P$22),"")</f>
        <v/>
      </c>
      <c r="Y38" s="25" t="str">
        <f>IF(AND('Mapa final'!$Z$23="Baja",'Mapa final'!$AB$23="Moderado"),CONCATENATE("R3C",'Mapa final'!$P$23),"")</f>
        <v/>
      </c>
      <c r="Z38" s="25" t="str">
        <f>IF(AND('Mapa final'!$Z$24="Baja",'Mapa final'!$AB$24="Moderado"),CONCATENATE("R3C",'Mapa final'!$P$24),"")</f>
        <v/>
      </c>
      <c r="AA38" s="26" t="str">
        <f>IF(AND('Mapa final'!$Z$25="Baja",'Mapa final'!$AB$25="Moderado"),CONCATENATE("R3C",'Mapa final'!$P$25),"")</f>
        <v/>
      </c>
      <c r="AB38" s="9" t="str">
        <f>IF(AND('Mapa final'!$Z$20="Baja",'Mapa final'!$AB$20="Mayor"),CONCATENATE("R3C",'Mapa final'!$P$20),"")</f>
        <v/>
      </c>
      <c r="AC38" s="10" t="str">
        <f>IF(AND('Mapa final'!$Z$21="Baja",'Mapa final'!$AB$21="Mayor"),CONCATENATE("R3C",'Mapa final'!$P$21),"")</f>
        <v/>
      </c>
      <c r="AD38" s="10" t="str">
        <f>IF(AND('Mapa final'!$Z$22="Baja",'Mapa final'!$AB$22="Mayor"),CONCATENATE("R3C",'Mapa final'!$P$22),"")</f>
        <v/>
      </c>
      <c r="AE38" s="10" t="str">
        <f>IF(AND('Mapa final'!$Z$23="Baja",'Mapa final'!$AB$23="Mayor"),CONCATENATE("R3C",'Mapa final'!$P$23),"")</f>
        <v/>
      </c>
      <c r="AF38" s="10" t="str">
        <f>IF(AND('Mapa final'!$Z$24="Baja",'Mapa final'!$AB$24="Mayor"),CONCATENATE("R3C",'Mapa final'!$P$24),"")</f>
        <v/>
      </c>
      <c r="AG38" s="11" t="str">
        <f>IF(AND('Mapa final'!$Z$25="Baja",'Mapa final'!$AB$25="Mayor"),CONCATENATE("R3C",'Mapa final'!$P$25),"")</f>
        <v/>
      </c>
      <c r="AH38" s="12" t="str">
        <f>IF(AND('Mapa final'!$Z$20="Baja",'Mapa final'!$AB$20="Catastrófico"),CONCATENATE("R3C",'Mapa final'!$P$20),"")</f>
        <v/>
      </c>
      <c r="AI38" s="13" t="str">
        <f>IF(AND('Mapa final'!$Z$21="Baja",'Mapa final'!$AB$21="Catastrófico"),CONCATENATE("R3C",'Mapa final'!$P$21),"")</f>
        <v/>
      </c>
      <c r="AJ38" s="13" t="str">
        <f>IF(AND('Mapa final'!$Z$22="Baja",'Mapa final'!$AB$22="Catastrófico"),CONCATENATE("R3C",'Mapa final'!$P$22),"")</f>
        <v/>
      </c>
      <c r="AK38" s="13" t="str">
        <f>IF(AND('Mapa final'!$Z$23="Baja",'Mapa final'!$AB$23="Catastrófico"),CONCATENATE("R3C",'Mapa final'!$P$23),"")</f>
        <v/>
      </c>
      <c r="AL38" s="13" t="str">
        <f>IF(AND('Mapa final'!$Z$24="Baja",'Mapa final'!$AB$24="Catastrófico"),CONCATENATE("R3C",'Mapa final'!$P$24),"")</f>
        <v/>
      </c>
      <c r="AM38" s="14" t="str">
        <f>IF(AND('Mapa final'!$Z$25="Baja",'Mapa final'!$AB$25="Catastrófico"),CONCATENATE("R3C",'Mapa final'!$P$25),"")</f>
        <v/>
      </c>
      <c r="AN38" s="40"/>
      <c r="AO38" s="336"/>
      <c r="AP38" s="337"/>
      <c r="AQ38" s="337"/>
      <c r="AR38" s="337"/>
      <c r="AS38" s="337"/>
      <c r="AT38" s="338"/>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row>
    <row r="39" spans="1:80" ht="15" customHeight="1" x14ac:dyDescent="0.25">
      <c r="A39" s="40"/>
      <c r="B39" s="264"/>
      <c r="C39" s="264"/>
      <c r="D39" s="265"/>
      <c r="E39" s="305"/>
      <c r="F39" s="306"/>
      <c r="G39" s="306"/>
      <c r="H39" s="306"/>
      <c r="I39" s="306"/>
      <c r="J39" s="33" t="str">
        <f>IF(AND('Mapa final'!$Z$26="Baja",'Mapa final'!$AB$26="Leve"),CONCATENATE("R4C",'Mapa final'!$P$26),"")</f>
        <v/>
      </c>
      <c r="K39" s="34" t="str">
        <f>IF(AND('Mapa final'!$Z$27="Baja",'Mapa final'!$AB$27="Leve"),CONCATENATE("R4C",'Mapa final'!$P$27),"")</f>
        <v/>
      </c>
      <c r="L39" s="34" t="str">
        <f>IF(AND('Mapa final'!$Z$28="Baja",'Mapa final'!$AB$28="Leve"),CONCATENATE("R4C",'Mapa final'!$P$28),"")</f>
        <v/>
      </c>
      <c r="M39" s="34" t="str">
        <f>IF(AND('Mapa final'!$Z$29="Baja",'Mapa final'!$AB$29="Leve"),CONCATENATE("R4C",'Mapa final'!$P$29),"")</f>
        <v/>
      </c>
      <c r="N39" s="34" t="str">
        <f>IF(AND('Mapa final'!$Z$30="Baja",'Mapa final'!$AB$30="Leve"),CONCATENATE("R4C",'Mapa final'!$P$30),"")</f>
        <v/>
      </c>
      <c r="O39" s="35" t="str">
        <f>IF(AND('Mapa final'!$Z$31="Baja",'Mapa final'!$AB$31="Leve"),CONCATENATE("R4C",'Mapa final'!$P$31),"")</f>
        <v/>
      </c>
      <c r="P39" s="24" t="str">
        <f>IF(AND('Mapa final'!$Z$26="Baja",'Mapa final'!$AB$26="Menor"),CONCATENATE("R4C",'Mapa final'!$P$26),"")</f>
        <v/>
      </c>
      <c r="Q39" s="25" t="str">
        <f>IF(AND('Mapa final'!$Z$27="Baja",'Mapa final'!$AB$27="Menor"),CONCATENATE("R4C",'Mapa final'!$P$27),"")</f>
        <v/>
      </c>
      <c r="R39" s="25" t="str">
        <f>IF(AND('Mapa final'!$Z$28="Baja",'Mapa final'!$AB$28="Menor"),CONCATENATE("R4C",'Mapa final'!$P$28),"")</f>
        <v/>
      </c>
      <c r="S39" s="25" t="str">
        <f>IF(AND('Mapa final'!$Z$29="Baja",'Mapa final'!$AB$29="Menor"),CONCATENATE("R4C",'Mapa final'!$P$29),"")</f>
        <v/>
      </c>
      <c r="T39" s="25" t="str">
        <f>IF(AND('Mapa final'!$Z$30="Baja",'Mapa final'!$AB$30="Menor"),CONCATENATE("R4C",'Mapa final'!$P$30),"")</f>
        <v/>
      </c>
      <c r="U39" s="26" t="str">
        <f>IF(AND('Mapa final'!$Z$31="Baja",'Mapa final'!$AB$31="Menor"),CONCATENATE("R4C",'Mapa final'!$P$31),"")</f>
        <v/>
      </c>
      <c r="V39" s="24" t="str">
        <f>IF(AND('Mapa final'!$Z$26="Baja",'Mapa final'!$AB$26="Moderado"),CONCATENATE("R4C",'Mapa final'!$P$26),"")</f>
        <v/>
      </c>
      <c r="W39" s="25" t="str">
        <f>IF(AND('Mapa final'!$Z$27="Baja",'Mapa final'!$AB$27="Moderado"),CONCATENATE("R4C",'Mapa final'!$P$27),"")</f>
        <v/>
      </c>
      <c r="X39" s="25" t="str">
        <f>IF(AND('Mapa final'!$Z$28="Baja",'Mapa final'!$AB$28="Moderado"),CONCATENATE("R4C",'Mapa final'!$P$28),"")</f>
        <v/>
      </c>
      <c r="Y39" s="25" t="str">
        <f>IF(AND('Mapa final'!$Z$29="Baja",'Mapa final'!$AB$29="Moderado"),CONCATENATE("R4C",'Mapa final'!$P$29),"")</f>
        <v/>
      </c>
      <c r="Z39" s="25" t="str">
        <f>IF(AND('Mapa final'!$Z$30="Baja",'Mapa final'!$AB$30="Moderado"),CONCATENATE("R4C",'Mapa final'!$P$30),"")</f>
        <v/>
      </c>
      <c r="AA39" s="26" t="str">
        <f>IF(AND('Mapa final'!$Z$31="Baja",'Mapa final'!$AB$31="Moderado"),CONCATENATE("R4C",'Mapa final'!$P$31),"")</f>
        <v/>
      </c>
      <c r="AB39" s="9" t="str">
        <f>IF(AND('Mapa final'!$Z$26="Baja",'Mapa final'!$AB$26="Mayor"),CONCATENATE("R4C",'Mapa final'!$P$26),"")</f>
        <v/>
      </c>
      <c r="AC39" s="10" t="str">
        <f>IF(AND('Mapa final'!$Z$27="Baja",'Mapa final'!$AB$27="Mayor"),CONCATENATE("R4C",'Mapa final'!$P$27),"")</f>
        <v/>
      </c>
      <c r="AD39" s="10" t="str">
        <f>IF(AND('Mapa final'!$Z$28="Baja",'Mapa final'!$AB$28="Mayor"),CONCATENATE("R4C",'Mapa final'!$P$28),"")</f>
        <v/>
      </c>
      <c r="AE39" s="10" t="str">
        <f>IF(AND('Mapa final'!$Z$29="Baja",'Mapa final'!$AB$29="Mayor"),CONCATENATE("R4C",'Mapa final'!$P$29),"")</f>
        <v/>
      </c>
      <c r="AF39" s="10" t="str">
        <f>IF(AND('Mapa final'!$Z$30="Baja",'Mapa final'!$AB$30="Mayor"),CONCATENATE("R4C",'Mapa final'!$P$30),"")</f>
        <v/>
      </c>
      <c r="AG39" s="11" t="str">
        <f>IF(AND('Mapa final'!$Z$31="Baja",'Mapa final'!$AB$31="Mayor"),CONCATENATE("R4C",'Mapa final'!$P$31),"")</f>
        <v/>
      </c>
      <c r="AH39" s="12" t="str">
        <f>IF(AND('Mapa final'!$Z$26="Baja",'Mapa final'!$AB$26="Catastrófico"),CONCATENATE("R4C",'Mapa final'!$P$26),"")</f>
        <v/>
      </c>
      <c r="AI39" s="13" t="str">
        <f>IF(AND('Mapa final'!$Z$27="Baja",'Mapa final'!$AB$27="Catastrófico"),CONCATENATE("R4C",'Mapa final'!$P$27),"")</f>
        <v/>
      </c>
      <c r="AJ39" s="13" t="str">
        <f>IF(AND('Mapa final'!$Z$28="Baja",'Mapa final'!$AB$28="Catastrófico"),CONCATENATE("R4C",'Mapa final'!$P$28),"")</f>
        <v/>
      </c>
      <c r="AK39" s="13" t="str">
        <f>IF(AND('Mapa final'!$Z$29="Baja",'Mapa final'!$AB$29="Catastrófico"),CONCATENATE("R4C",'Mapa final'!$P$29),"")</f>
        <v/>
      </c>
      <c r="AL39" s="13" t="str">
        <f>IF(AND('Mapa final'!$Z$30="Baja",'Mapa final'!$AB$30="Catastrófico"),CONCATENATE("R4C",'Mapa final'!$P$30),"")</f>
        <v/>
      </c>
      <c r="AM39" s="14" t="str">
        <f>IF(AND('Mapa final'!$Z$31="Baja",'Mapa final'!$AB$31="Catastrófico"),CONCATENATE("R4C",'Mapa final'!$P$31),"")</f>
        <v/>
      </c>
      <c r="AN39" s="40"/>
      <c r="AO39" s="336"/>
      <c r="AP39" s="337"/>
      <c r="AQ39" s="337"/>
      <c r="AR39" s="337"/>
      <c r="AS39" s="337"/>
      <c r="AT39" s="338"/>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row>
    <row r="40" spans="1:80" ht="15" customHeight="1" x14ac:dyDescent="0.25">
      <c r="A40" s="40"/>
      <c r="B40" s="264"/>
      <c r="C40" s="264"/>
      <c r="D40" s="265"/>
      <c r="E40" s="305"/>
      <c r="F40" s="306"/>
      <c r="G40" s="306"/>
      <c r="H40" s="306"/>
      <c r="I40" s="306"/>
      <c r="J40" s="33" t="str">
        <f>IF(AND('Mapa final'!$Z$32="Baja",'Mapa final'!$AB$32="Leve"),CONCATENATE("R5C",'Mapa final'!$P$32),"")</f>
        <v/>
      </c>
      <c r="K40" s="34" t="str">
        <f>IF(AND('Mapa final'!$Z$33="Baja",'Mapa final'!$AB$33="Leve"),CONCATENATE("R5C",'Mapa final'!$P$33),"")</f>
        <v/>
      </c>
      <c r="L40" s="34" t="str">
        <f>IF(AND('Mapa final'!$Z$34="Baja",'Mapa final'!$AB$34="Leve"),CONCATENATE("R5C",'Mapa final'!$P$34),"")</f>
        <v/>
      </c>
      <c r="M40" s="34" t="str">
        <f>IF(AND('Mapa final'!$Z$35="Baja",'Mapa final'!$AB$35="Leve"),CONCATENATE("R5C",'Mapa final'!$P$35),"")</f>
        <v/>
      </c>
      <c r="N40" s="34" t="str">
        <f>IF(AND('Mapa final'!$Z$36="Baja",'Mapa final'!$AB$36="Leve"),CONCATENATE("R5C",'Mapa final'!$P$36),"")</f>
        <v/>
      </c>
      <c r="O40" s="35" t="str">
        <f>IF(AND('Mapa final'!$Z$37="Baja",'Mapa final'!$AB$37="Leve"),CONCATENATE("R5C",'Mapa final'!$P$37),"")</f>
        <v/>
      </c>
      <c r="P40" s="24" t="str">
        <f>IF(AND('Mapa final'!$Z$32="Baja",'Mapa final'!$AB$32="Menor"),CONCATENATE("R5C",'Mapa final'!$P$32),"")</f>
        <v/>
      </c>
      <c r="Q40" s="25" t="str">
        <f>IF(AND('Mapa final'!$Z$33="Baja",'Mapa final'!$AB$33="Menor"),CONCATENATE("R5C",'Mapa final'!$P$33),"")</f>
        <v/>
      </c>
      <c r="R40" s="25" t="str">
        <f>IF(AND('Mapa final'!$Z$34="Baja",'Mapa final'!$AB$34="Menor"),CONCATENATE("R5C",'Mapa final'!$P$34),"")</f>
        <v/>
      </c>
      <c r="S40" s="25" t="str">
        <f>IF(AND('Mapa final'!$Z$35="Baja",'Mapa final'!$AB$35="Menor"),CONCATENATE("R5C",'Mapa final'!$P$35),"")</f>
        <v/>
      </c>
      <c r="T40" s="25" t="str">
        <f>IF(AND('Mapa final'!$Z$36="Baja",'Mapa final'!$AB$36="Menor"),CONCATENATE("R5C",'Mapa final'!$P$36),"")</f>
        <v/>
      </c>
      <c r="U40" s="26" t="str">
        <f>IF(AND('Mapa final'!$Z$37="Baja",'Mapa final'!$AB$37="Menor"),CONCATENATE("R5C",'Mapa final'!$P$37),"")</f>
        <v/>
      </c>
      <c r="V40" s="24" t="str">
        <f>IF(AND('Mapa final'!$Z$32="Baja",'Mapa final'!$AB$32="Moderado"),CONCATENATE("R5C",'Mapa final'!$P$32),"")</f>
        <v/>
      </c>
      <c r="W40" s="25" t="str">
        <f>IF(AND('Mapa final'!$Z$33="Baja",'Mapa final'!$AB$33="Moderado"),CONCATENATE("R5C",'Mapa final'!$P$33),"")</f>
        <v/>
      </c>
      <c r="X40" s="25" t="str">
        <f>IF(AND('Mapa final'!$Z$34="Baja",'Mapa final'!$AB$34="Moderado"),CONCATENATE("R5C",'Mapa final'!$P$34),"")</f>
        <v/>
      </c>
      <c r="Y40" s="25" t="str">
        <f>IF(AND('Mapa final'!$Z$35="Baja",'Mapa final'!$AB$35="Moderado"),CONCATENATE("R5C",'Mapa final'!$P$35),"")</f>
        <v/>
      </c>
      <c r="Z40" s="25" t="str">
        <f>IF(AND('Mapa final'!$Z$36="Baja",'Mapa final'!$AB$36="Moderado"),CONCATENATE("R5C",'Mapa final'!$P$36),"")</f>
        <v/>
      </c>
      <c r="AA40" s="26" t="str">
        <f>IF(AND('Mapa final'!$Z$37="Baja",'Mapa final'!$AB$37="Moderado"),CONCATENATE("R5C",'Mapa final'!$P$37),"")</f>
        <v/>
      </c>
      <c r="AB40" s="9" t="str">
        <f>IF(AND('Mapa final'!$Z$32="Baja",'Mapa final'!$AB$32="Mayor"),CONCATENATE("R5C",'Mapa final'!$P$32),"")</f>
        <v/>
      </c>
      <c r="AC40" s="10" t="str">
        <f>IF(AND('Mapa final'!$Z$33="Baja",'Mapa final'!$AB$33="Mayor"),CONCATENATE("R5C",'Mapa final'!$P$33),"")</f>
        <v/>
      </c>
      <c r="AD40" s="10" t="str">
        <f>IF(AND('Mapa final'!$Z$34="Baja",'Mapa final'!$AB$34="Mayor"),CONCATENATE("R5C",'Mapa final'!$P$34),"")</f>
        <v/>
      </c>
      <c r="AE40" s="10" t="str">
        <f>IF(AND('Mapa final'!$Z$35="Baja",'Mapa final'!$AB$35="Mayor"),CONCATENATE("R5C",'Mapa final'!$P$35),"")</f>
        <v/>
      </c>
      <c r="AF40" s="10" t="str">
        <f>IF(AND('Mapa final'!$Z$36="Baja",'Mapa final'!$AB$36="Mayor"),CONCATENATE("R5C",'Mapa final'!$P$36),"")</f>
        <v/>
      </c>
      <c r="AG40" s="11" t="str">
        <f>IF(AND('Mapa final'!$Z$37="Baja",'Mapa final'!$AB$37="Mayor"),CONCATENATE("R5C",'Mapa final'!$P$37),"")</f>
        <v/>
      </c>
      <c r="AH40" s="12" t="str">
        <f>IF(AND('Mapa final'!$Z$32="Baja",'Mapa final'!$AB$32="Catastrófico"),CONCATENATE("R5C",'Mapa final'!$P$32),"")</f>
        <v/>
      </c>
      <c r="AI40" s="13" t="str">
        <f>IF(AND('Mapa final'!$Z$33="Baja",'Mapa final'!$AB$33="Catastrófico"),CONCATENATE("R5C",'Mapa final'!$P$33),"")</f>
        <v/>
      </c>
      <c r="AJ40" s="13" t="str">
        <f>IF(AND('Mapa final'!$Z$34="Baja",'Mapa final'!$AB$34="Catastrófico"),CONCATENATE("R5C",'Mapa final'!$P$34),"")</f>
        <v/>
      </c>
      <c r="AK40" s="13" t="str">
        <f>IF(AND('Mapa final'!$Z$35="Baja",'Mapa final'!$AB$35="Catastrófico"),CONCATENATE("R5C",'Mapa final'!$P$35),"")</f>
        <v/>
      </c>
      <c r="AL40" s="13" t="str">
        <f>IF(AND('Mapa final'!$Z$36="Baja",'Mapa final'!$AB$36="Catastrófico"),CONCATENATE("R5C",'Mapa final'!$P$36),"")</f>
        <v/>
      </c>
      <c r="AM40" s="14" t="str">
        <f>IF(AND('Mapa final'!$Z$37="Baja",'Mapa final'!$AB$37="Catastrófico"),CONCATENATE("R5C",'Mapa final'!$P$37),"")</f>
        <v/>
      </c>
      <c r="AN40" s="40"/>
      <c r="AO40" s="336"/>
      <c r="AP40" s="337"/>
      <c r="AQ40" s="337"/>
      <c r="AR40" s="337"/>
      <c r="AS40" s="337"/>
      <c r="AT40" s="338"/>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row>
    <row r="41" spans="1:80" ht="15" customHeight="1" x14ac:dyDescent="0.25">
      <c r="A41" s="40"/>
      <c r="B41" s="264"/>
      <c r="C41" s="264"/>
      <c r="D41" s="265"/>
      <c r="E41" s="305"/>
      <c r="F41" s="306"/>
      <c r="G41" s="306"/>
      <c r="H41" s="306"/>
      <c r="I41" s="306"/>
      <c r="J41" s="33" t="str">
        <f>IF(AND('Mapa final'!$Z$38="Baja",'Mapa final'!$AB$38="Leve"),CONCATENATE("R6C",'Mapa final'!$P$38),"")</f>
        <v/>
      </c>
      <c r="K41" s="34" t="str">
        <f>IF(AND('Mapa final'!$Z$39="Baja",'Mapa final'!$AB$39="Leve"),CONCATENATE("R6C",'Mapa final'!$P$39),"")</f>
        <v/>
      </c>
      <c r="L41" s="34" t="str">
        <f>IF(AND('Mapa final'!$Z$40="Baja",'Mapa final'!$AB$40="Leve"),CONCATENATE("R6C",'Mapa final'!$P$40),"")</f>
        <v/>
      </c>
      <c r="M41" s="34" t="str">
        <f>IF(AND('Mapa final'!$Z$41="Baja",'Mapa final'!$AB$41="Leve"),CONCATENATE("R6C",'Mapa final'!$P$41),"")</f>
        <v/>
      </c>
      <c r="N41" s="34" t="str">
        <f>IF(AND('Mapa final'!$Z$42="Baja",'Mapa final'!$AB$42="Leve"),CONCATENATE("R6C",'Mapa final'!$P$42),"")</f>
        <v/>
      </c>
      <c r="O41" s="35" t="str">
        <f>IF(AND('Mapa final'!$Z$43="Baja",'Mapa final'!$AB$43="Leve"),CONCATENATE("R6C",'Mapa final'!$P$43),"")</f>
        <v/>
      </c>
      <c r="P41" s="24" t="str">
        <f>IF(AND('Mapa final'!$Z$38="Baja",'Mapa final'!$AB$38="Menor"),CONCATENATE("R6C",'Mapa final'!$P$38),"")</f>
        <v/>
      </c>
      <c r="Q41" s="25" t="str">
        <f>IF(AND('Mapa final'!$Z$39="Baja",'Mapa final'!$AB$39="Menor"),CONCATENATE("R6C",'Mapa final'!$P$39),"")</f>
        <v/>
      </c>
      <c r="R41" s="25" t="str">
        <f>IF(AND('Mapa final'!$Z$40="Baja",'Mapa final'!$AB$40="Menor"),CONCATENATE("R6C",'Mapa final'!$P$40),"")</f>
        <v/>
      </c>
      <c r="S41" s="25" t="str">
        <f>IF(AND('Mapa final'!$Z$41="Baja",'Mapa final'!$AB$41="Menor"),CONCATENATE("R6C",'Mapa final'!$P$41),"")</f>
        <v/>
      </c>
      <c r="T41" s="25" t="str">
        <f>IF(AND('Mapa final'!$Z$42="Baja",'Mapa final'!$AB$42="Menor"),CONCATENATE("R6C",'Mapa final'!$P$42),"")</f>
        <v/>
      </c>
      <c r="U41" s="26" t="str">
        <f>IF(AND('Mapa final'!$Z$43="Baja",'Mapa final'!$AB$43="Menor"),CONCATENATE("R6C",'Mapa final'!$P$43),"")</f>
        <v/>
      </c>
      <c r="V41" s="24" t="str">
        <f>IF(AND('Mapa final'!$Z$38="Baja",'Mapa final'!$AB$38="Moderado"),CONCATENATE("R6C",'Mapa final'!$P$38),"")</f>
        <v/>
      </c>
      <c r="W41" s="25" t="str">
        <f>IF(AND('Mapa final'!$Z$39="Baja",'Mapa final'!$AB$39="Moderado"),CONCATENATE("R6C",'Mapa final'!$P$39),"")</f>
        <v/>
      </c>
      <c r="X41" s="25" t="str">
        <f>IF(AND('Mapa final'!$Z$40="Baja",'Mapa final'!$AB$40="Moderado"),CONCATENATE("R6C",'Mapa final'!$P$40),"")</f>
        <v/>
      </c>
      <c r="Y41" s="25" t="str">
        <f>IF(AND('Mapa final'!$Z$41="Baja",'Mapa final'!$AB$41="Moderado"),CONCATENATE("R6C",'Mapa final'!$P$41),"")</f>
        <v/>
      </c>
      <c r="Z41" s="25" t="str">
        <f>IF(AND('Mapa final'!$Z$42="Baja",'Mapa final'!$AB$42="Moderado"),CONCATENATE("R6C",'Mapa final'!$P$42),"")</f>
        <v/>
      </c>
      <c r="AA41" s="26" t="str">
        <f>IF(AND('Mapa final'!$Z$43="Baja",'Mapa final'!$AB$43="Moderado"),CONCATENATE("R6C",'Mapa final'!$P$43),"")</f>
        <v/>
      </c>
      <c r="AB41" s="9" t="str">
        <f>IF(AND('Mapa final'!$Z$38="Baja",'Mapa final'!$AB$38="Mayor"),CONCATENATE("R6C",'Mapa final'!$P$38),"")</f>
        <v/>
      </c>
      <c r="AC41" s="10" t="str">
        <f>IF(AND('Mapa final'!$Z$39="Baja",'Mapa final'!$AB$39="Mayor"),CONCATENATE("R6C",'Mapa final'!$P$39),"")</f>
        <v/>
      </c>
      <c r="AD41" s="10" t="str">
        <f>IF(AND('Mapa final'!$Z$40="Baja",'Mapa final'!$AB$40="Mayor"),CONCATENATE("R6C",'Mapa final'!$P$40),"")</f>
        <v/>
      </c>
      <c r="AE41" s="10" t="str">
        <f>IF(AND('Mapa final'!$Z$41="Baja",'Mapa final'!$AB$41="Mayor"),CONCATENATE("R6C",'Mapa final'!$P$41),"")</f>
        <v/>
      </c>
      <c r="AF41" s="10" t="str">
        <f>IF(AND('Mapa final'!$Z$42="Baja",'Mapa final'!$AB$42="Mayor"),CONCATENATE("R6C",'Mapa final'!$P$42),"")</f>
        <v/>
      </c>
      <c r="AG41" s="11" t="str">
        <f>IF(AND('Mapa final'!$Z$43="Baja",'Mapa final'!$AB$43="Mayor"),CONCATENATE("R6C",'Mapa final'!$P$43),"")</f>
        <v/>
      </c>
      <c r="AH41" s="12" t="str">
        <f>IF(AND('Mapa final'!$Z$38="Baja",'Mapa final'!$AB$38="Catastrófico"),CONCATENATE("R6C",'Mapa final'!$P$38),"")</f>
        <v/>
      </c>
      <c r="AI41" s="13" t="str">
        <f>IF(AND('Mapa final'!$Z$39="Baja",'Mapa final'!$AB$39="Catastrófico"),CONCATENATE("R6C",'Mapa final'!$P$39),"")</f>
        <v/>
      </c>
      <c r="AJ41" s="13" t="str">
        <f>IF(AND('Mapa final'!$Z$40="Baja",'Mapa final'!$AB$40="Catastrófico"),CONCATENATE("R6C",'Mapa final'!$P$40),"")</f>
        <v/>
      </c>
      <c r="AK41" s="13" t="str">
        <f>IF(AND('Mapa final'!$Z$41="Baja",'Mapa final'!$AB$41="Catastrófico"),CONCATENATE("R6C",'Mapa final'!$P$41),"")</f>
        <v/>
      </c>
      <c r="AL41" s="13" t="str">
        <f>IF(AND('Mapa final'!$Z$42="Baja",'Mapa final'!$AB$42="Catastrófico"),CONCATENATE("R6C",'Mapa final'!$P$42),"")</f>
        <v/>
      </c>
      <c r="AM41" s="14" t="str">
        <f>IF(AND('Mapa final'!$Z$43="Baja",'Mapa final'!$AB$43="Catastrófico"),CONCATENATE("R6C",'Mapa final'!$P$43),"")</f>
        <v/>
      </c>
      <c r="AN41" s="40"/>
      <c r="AO41" s="336"/>
      <c r="AP41" s="337"/>
      <c r="AQ41" s="337"/>
      <c r="AR41" s="337"/>
      <c r="AS41" s="337"/>
      <c r="AT41" s="338"/>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row>
    <row r="42" spans="1:80" ht="15" customHeight="1" x14ac:dyDescent="0.25">
      <c r="A42" s="40"/>
      <c r="B42" s="264"/>
      <c r="C42" s="264"/>
      <c r="D42" s="265"/>
      <c r="E42" s="305"/>
      <c r="F42" s="306"/>
      <c r="G42" s="306"/>
      <c r="H42" s="306"/>
      <c r="I42" s="306"/>
      <c r="J42" s="33" t="str">
        <f>IF(AND('Mapa final'!$Z$44="Baja",'Mapa final'!$AB$44="Leve"),CONCATENATE("R7C",'Mapa final'!$P$44),"")</f>
        <v/>
      </c>
      <c r="K42" s="34" t="str">
        <f>IF(AND('Mapa final'!$Z$45="Baja",'Mapa final'!$AB$45="Leve"),CONCATENATE("R7C",'Mapa final'!$P$45),"")</f>
        <v/>
      </c>
      <c r="L42" s="34" t="str">
        <f>IF(AND('Mapa final'!$Z$46="Baja",'Mapa final'!$AB$46="Leve"),CONCATENATE("R7C",'Mapa final'!$P$46),"")</f>
        <v/>
      </c>
      <c r="M42" s="34" t="str">
        <f>IF(AND('Mapa final'!$Z$47="Baja",'Mapa final'!$AB$47="Leve"),CONCATENATE("R7C",'Mapa final'!$P$47),"")</f>
        <v/>
      </c>
      <c r="N42" s="34" t="str">
        <f>IF(AND('Mapa final'!$Z$48="Baja",'Mapa final'!$AB$48="Leve"),CONCATENATE("R7C",'Mapa final'!$P$48),"")</f>
        <v/>
      </c>
      <c r="O42" s="35" t="str">
        <f>IF(AND('Mapa final'!$Z$49="Baja",'Mapa final'!$AB$49="Leve"),CONCATENATE("R7C",'Mapa final'!$P$49),"")</f>
        <v/>
      </c>
      <c r="P42" s="24" t="str">
        <f>IF(AND('Mapa final'!$Z$44="Baja",'Mapa final'!$AB$44="Menor"),CONCATENATE("R7C",'Mapa final'!$P$44),"")</f>
        <v/>
      </c>
      <c r="Q42" s="25" t="str">
        <f>IF(AND('Mapa final'!$Z$45="Baja",'Mapa final'!$AB$45="Menor"),CONCATENATE("R7C",'Mapa final'!$P$45),"")</f>
        <v/>
      </c>
      <c r="R42" s="25" t="str">
        <f>IF(AND('Mapa final'!$Z$46="Baja",'Mapa final'!$AB$46="Menor"),CONCATENATE("R7C",'Mapa final'!$P$46),"")</f>
        <v/>
      </c>
      <c r="S42" s="25" t="str">
        <f>IF(AND('Mapa final'!$Z$47="Baja",'Mapa final'!$AB$47="Menor"),CONCATENATE("R7C",'Mapa final'!$P$47),"")</f>
        <v/>
      </c>
      <c r="T42" s="25" t="str">
        <f>IF(AND('Mapa final'!$Z$48="Baja",'Mapa final'!$AB$48="Menor"),CONCATENATE("R7C",'Mapa final'!$P$48),"")</f>
        <v/>
      </c>
      <c r="U42" s="26" t="str">
        <f>IF(AND('Mapa final'!$Z$49="Baja",'Mapa final'!$AB$49="Menor"),CONCATENATE("R7C",'Mapa final'!$P$49),"")</f>
        <v/>
      </c>
      <c r="V42" s="24" t="str">
        <f>IF(AND('Mapa final'!$Z$44="Baja",'Mapa final'!$AB$44="Moderado"),CONCATENATE("R7C",'Mapa final'!$P$44),"")</f>
        <v/>
      </c>
      <c r="W42" s="25" t="str">
        <f>IF(AND('Mapa final'!$Z$45="Baja",'Mapa final'!$AB$45="Moderado"),CONCATENATE("R7C",'Mapa final'!$P$45),"")</f>
        <v/>
      </c>
      <c r="X42" s="25" t="str">
        <f>IF(AND('Mapa final'!$Z$46="Baja",'Mapa final'!$AB$46="Moderado"),CONCATENATE("R7C",'Mapa final'!$P$46),"")</f>
        <v/>
      </c>
      <c r="Y42" s="25" t="str">
        <f>IF(AND('Mapa final'!$Z$47="Baja",'Mapa final'!$AB$47="Moderado"),CONCATENATE("R7C",'Mapa final'!$P$47),"")</f>
        <v/>
      </c>
      <c r="Z42" s="25" t="str">
        <f>IF(AND('Mapa final'!$Z$48="Baja",'Mapa final'!$AB$48="Moderado"),CONCATENATE("R7C",'Mapa final'!$P$48),"")</f>
        <v/>
      </c>
      <c r="AA42" s="26" t="str">
        <f>IF(AND('Mapa final'!$Z$49="Baja",'Mapa final'!$AB$49="Moderado"),CONCATENATE("R7C",'Mapa final'!$P$49),"")</f>
        <v/>
      </c>
      <c r="AB42" s="9" t="str">
        <f>IF(AND('Mapa final'!$Z$44="Baja",'Mapa final'!$AB$44="Mayor"),CONCATENATE("R7C",'Mapa final'!$P$44),"")</f>
        <v/>
      </c>
      <c r="AC42" s="10" t="str">
        <f>IF(AND('Mapa final'!$Z$45="Baja",'Mapa final'!$AB$45="Mayor"),CONCATENATE("R7C",'Mapa final'!$P$45),"")</f>
        <v/>
      </c>
      <c r="AD42" s="10" t="str">
        <f>IF(AND('Mapa final'!$Z$46="Baja",'Mapa final'!$AB$46="Mayor"),CONCATENATE("R7C",'Mapa final'!$P$46),"")</f>
        <v/>
      </c>
      <c r="AE42" s="10" t="str">
        <f>IF(AND('Mapa final'!$Z$47="Baja",'Mapa final'!$AB$47="Mayor"),CONCATENATE("R7C",'Mapa final'!$P$47),"")</f>
        <v/>
      </c>
      <c r="AF42" s="10" t="str">
        <f>IF(AND('Mapa final'!$Z$48="Baja",'Mapa final'!$AB$48="Mayor"),CONCATENATE("R7C",'Mapa final'!$P$48),"")</f>
        <v/>
      </c>
      <c r="AG42" s="11" t="str">
        <f>IF(AND('Mapa final'!$Z$49="Baja",'Mapa final'!$AB$49="Mayor"),CONCATENATE("R7C",'Mapa final'!$P$49),"")</f>
        <v/>
      </c>
      <c r="AH42" s="12" t="str">
        <f>IF(AND('Mapa final'!$Z$44="Baja",'Mapa final'!$AB$44="Catastrófico"),CONCATENATE("R7C",'Mapa final'!$P$44),"")</f>
        <v/>
      </c>
      <c r="AI42" s="13" t="str">
        <f>IF(AND('Mapa final'!$Z$45="Baja",'Mapa final'!$AB$45="Catastrófico"),CONCATENATE("R7C",'Mapa final'!$P$45),"")</f>
        <v/>
      </c>
      <c r="AJ42" s="13" t="str">
        <f>IF(AND('Mapa final'!$Z$46="Baja",'Mapa final'!$AB$46="Catastrófico"),CONCATENATE("R7C",'Mapa final'!$P$46),"")</f>
        <v/>
      </c>
      <c r="AK42" s="13" t="str">
        <f>IF(AND('Mapa final'!$Z$47="Baja",'Mapa final'!$AB$47="Catastrófico"),CONCATENATE("R7C",'Mapa final'!$P$47),"")</f>
        <v/>
      </c>
      <c r="AL42" s="13" t="str">
        <f>IF(AND('Mapa final'!$Z$48="Baja",'Mapa final'!$AB$48="Catastrófico"),CONCATENATE("R7C",'Mapa final'!$P$48),"")</f>
        <v/>
      </c>
      <c r="AM42" s="14" t="str">
        <f>IF(AND('Mapa final'!$Z$49="Baja",'Mapa final'!$AB$49="Catastrófico"),CONCATENATE("R7C",'Mapa final'!$P$49),"")</f>
        <v/>
      </c>
      <c r="AN42" s="40"/>
      <c r="AO42" s="336"/>
      <c r="AP42" s="337"/>
      <c r="AQ42" s="337"/>
      <c r="AR42" s="337"/>
      <c r="AS42" s="337"/>
      <c r="AT42" s="338"/>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row>
    <row r="43" spans="1:80" ht="15" customHeight="1" x14ac:dyDescent="0.25">
      <c r="A43" s="40"/>
      <c r="B43" s="264"/>
      <c r="C43" s="264"/>
      <c r="D43" s="265"/>
      <c r="E43" s="305"/>
      <c r="F43" s="306"/>
      <c r="G43" s="306"/>
      <c r="H43" s="306"/>
      <c r="I43" s="306"/>
      <c r="J43" s="33" t="str">
        <f>IF(AND('Mapa final'!$Z$50="Baja",'Mapa final'!$AB$50="Leve"),CONCATENATE("R8C",'Mapa final'!$P$50),"")</f>
        <v/>
      </c>
      <c r="K43" s="34" t="str">
        <f>IF(AND('Mapa final'!$Z$51="Baja",'Mapa final'!$AB$51="Leve"),CONCATENATE("R8C",'Mapa final'!$P$51),"")</f>
        <v/>
      </c>
      <c r="L43" s="34" t="str">
        <f>IF(AND('Mapa final'!$Z$52="Baja",'Mapa final'!$AB$52="Leve"),CONCATENATE("R8C",'Mapa final'!$P$52),"")</f>
        <v/>
      </c>
      <c r="M43" s="34" t="str">
        <f>IF(AND('Mapa final'!$Z$53="Baja",'Mapa final'!$AB$53="Leve"),CONCATENATE("R8C",'Mapa final'!$P$53),"")</f>
        <v/>
      </c>
      <c r="N43" s="34" t="str">
        <f>IF(AND('Mapa final'!$Z$54="Baja",'Mapa final'!$AB$54="Leve"),CONCATENATE("R8C",'Mapa final'!$P$54),"")</f>
        <v/>
      </c>
      <c r="O43" s="35" t="str">
        <f>IF(AND('Mapa final'!$Z$55="Baja",'Mapa final'!$AB$55="Leve"),CONCATENATE("R8C",'Mapa final'!$P$55),"")</f>
        <v/>
      </c>
      <c r="P43" s="24" t="str">
        <f>IF(AND('Mapa final'!$Z$50="Baja",'Mapa final'!$AB$50="Menor"),CONCATENATE("R8C",'Mapa final'!$P$50),"")</f>
        <v/>
      </c>
      <c r="Q43" s="25" t="str">
        <f>IF(AND('Mapa final'!$Z$51="Baja",'Mapa final'!$AB$51="Menor"),CONCATENATE("R8C",'Mapa final'!$P$51),"")</f>
        <v/>
      </c>
      <c r="R43" s="25" t="str">
        <f>IF(AND('Mapa final'!$Z$52="Baja",'Mapa final'!$AB$52="Menor"),CONCATENATE("R8C",'Mapa final'!$P$52),"")</f>
        <v/>
      </c>
      <c r="S43" s="25" t="str">
        <f>IF(AND('Mapa final'!$Z$53="Baja",'Mapa final'!$AB$53="Menor"),CONCATENATE("R8C",'Mapa final'!$P$53),"")</f>
        <v/>
      </c>
      <c r="T43" s="25" t="str">
        <f>IF(AND('Mapa final'!$Z$54="Baja",'Mapa final'!$AB$54="Menor"),CONCATENATE("R8C",'Mapa final'!$P$54),"")</f>
        <v/>
      </c>
      <c r="U43" s="26" t="str">
        <f>IF(AND('Mapa final'!$Z$55="Baja",'Mapa final'!$AB$55="Menor"),CONCATENATE("R8C",'Mapa final'!$P$55),"")</f>
        <v/>
      </c>
      <c r="V43" s="24" t="str">
        <f>IF(AND('Mapa final'!$Z$50="Baja",'Mapa final'!$AB$50="Moderado"),CONCATENATE("R8C",'Mapa final'!$P$50),"")</f>
        <v/>
      </c>
      <c r="W43" s="25" t="str">
        <f>IF(AND('Mapa final'!$Z$51="Baja",'Mapa final'!$AB$51="Moderado"),CONCATENATE("R8C",'Mapa final'!$P$51),"")</f>
        <v/>
      </c>
      <c r="X43" s="25" t="str">
        <f>IF(AND('Mapa final'!$Z$52="Baja",'Mapa final'!$AB$52="Moderado"),CONCATENATE("R8C",'Mapa final'!$P$52),"")</f>
        <v/>
      </c>
      <c r="Y43" s="25" t="str">
        <f>IF(AND('Mapa final'!$Z$53="Baja",'Mapa final'!$AB$53="Moderado"),CONCATENATE("R8C",'Mapa final'!$P$53),"")</f>
        <v/>
      </c>
      <c r="Z43" s="25" t="str">
        <f>IF(AND('Mapa final'!$Z$54="Baja",'Mapa final'!$AB$54="Moderado"),CONCATENATE("R8C",'Mapa final'!$P$54),"")</f>
        <v/>
      </c>
      <c r="AA43" s="26" t="str">
        <f>IF(AND('Mapa final'!$Z$55="Baja",'Mapa final'!$AB$55="Moderado"),CONCATENATE("R8C",'Mapa final'!$P$55),"")</f>
        <v/>
      </c>
      <c r="AB43" s="9" t="str">
        <f>IF(AND('Mapa final'!$Z$50="Baja",'Mapa final'!$AB$50="Mayor"),CONCATENATE("R8C",'Mapa final'!$P$50),"")</f>
        <v/>
      </c>
      <c r="AC43" s="10" t="str">
        <f>IF(AND('Mapa final'!$Z$51="Baja",'Mapa final'!$AB$51="Mayor"),CONCATENATE("R8C",'Mapa final'!$P$51),"")</f>
        <v/>
      </c>
      <c r="AD43" s="10" t="str">
        <f>IF(AND('Mapa final'!$Z$52="Baja",'Mapa final'!$AB$52="Mayor"),CONCATENATE("R8C",'Mapa final'!$P$52),"")</f>
        <v/>
      </c>
      <c r="AE43" s="10" t="str">
        <f>IF(AND('Mapa final'!$Z$53="Baja",'Mapa final'!$AB$53="Mayor"),CONCATENATE("R8C",'Mapa final'!$P$53),"")</f>
        <v/>
      </c>
      <c r="AF43" s="10" t="str">
        <f>IF(AND('Mapa final'!$Z$54="Baja",'Mapa final'!$AB$54="Mayor"),CONCATENATE("R8C",'Mapa final'!$P$54),"")</f>
        <v/>
      </c>
      <c r="AG43" s="11" t="str">
        <f>IF(AND('Mapa final'!$Z$55="Baja",'Mapa final'!$AB$55="Mayor"),CONCATENATE("R8C",'Mapa final'!$P$55),"")</f>
        <v/>
      </c>
      <c r="AH43" s="12" t="str">
        <f>IF(AND('Mapa final'!$Z$50="Baja",'Mapa final'!$AB$50="Catastrófico"),CONCATENATE("R8C",'Mapa final'!$P$50),"")</f>
        <v/>
      </c>
      <c r="AI43" s="13" t="str">
        <f>IF(AND('Mapa final'!$Z$51="Baja",'Mapa final'!$AB$51="Catastrófico"),CONCATENATE("R8C",'Mapa final'!$P$51),"")</f>
        <v/>
      </c>
      <c r="AJ43" s="13" t="str">
        <f>IF(AND('Mapa final'!$Z$52="Baja",'Mapa final'!$AB$52="Catastrófico"),CONCATENATE("R8C",'Mapa final'!$P$52),"")</f>
        <v/>
      </c>
      <c r="AK43" s="13" t="str">
        <f>IF(AND('Mapa final'!$Z$53="Baja",'Mapa final'!$AB$53="Catastrófico"),CONCATENATE("R8C",'Mapa final'!$P$53),"")</f>
        <v/>
      </c>
      <c r="AL43" s="13" t="str">
        <f>IF(AND('Mapa final'!$Z$54="Baja",'Mapa final'!$AB$54="Catastrófico"),CONCATENATE("R8C",'Mapa final'!$P$54),"")</f>
        <v/>
      </c>
      <c r="AM43" s="14" t="str">
        <f>IF(AND('Mapa final'!$Z$55="Baja",'Mapa final'!$AB$55="Catastrófico"),CONCATENATE("R8C",'Mapa final'!$P$55),"")</f>
        <v/>
      </c>
      <c r="AN43" s="40"/>
      <c r="AO43" s="336"/>
      <c r="AP43" s="337"/>
      <c r="AQ43" s="337"/>
      <c r="AR43" s="337"/>
      <c r="AS43" s="337"/>
      <c r="AT43" s="338"/>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row>
    <row r="44" spans="1:80" ht="15" customHeight="1" x14ac:dyDescent="0.25">
      <c r="A44" s="40"/>
      <c r="B44" s="264"/>
      <c r="C44" s="264"/>
      <c r="D44" s="265"/>
      <c r="E44" s="305"/>
      <c r="F44" s="306"/>
      <c r="G44" s="306"/>
      <c r="H44" s="306"/>
      <c r="I44" s="306"/>
      <c r="J44" s="33" t="str">
        <f>IF(AND('Mapa final'!$Z$56="Baja",'Mapa final'!$AB$56="Leve"),CONCATENATE("R9C",'Mapa final'!$P$56),"")</f>
        <v/>
      </c>
      <c r="K44" s="34" t="str">
        <f>IF(AND('Mapa final'!$Z$57="Baja",'Mapa final'!$AB$57="Leve"),CONCATENATE("R9C",'Mapa final'!$P$57),"")</f>
        <v/>
      </c>
      <c r="L44" s="34" t="str">
        <f>IF(AND('Mapa final'!$Z$58="Baja",'Mapa final'!$AB$58="Leve"),CONCATENATE("R9C",'Mapa final'!$P$58),"")</f>
        <v/>
      </c>
      <c r="M44" s="34" t="str">
        <f>IF(AND('Mapa final'!$Z$59="Baja",'Mapa final'!$AB$59="Leve"),CONCATENATE("R9C",'Mapa final'!$P$59),"")</f>
        <v/>
      </c>
      <c r="N44" s="34" t="str">
        <f>IF(AND('Mapa final'!$Z$60="Baja",'Mapa final'!$AB$60="Leve"),CONCATENATE("R9C",'Mapa final'!$P$60),"")</f>
        <v/>
      </c>
      <c r="O44" s="35" t="str">
        <f>IF(AND('Mapa final'!$Z$61="Baja",'Mapa final'!$AB$61="Leve"),CONCATENATE("R9C",'Mapa final'!$P$61),"")</f>
        <v/>
      </c>
      <c r="P44" s="24" t="str">
        <f>IF(AND('Mapa final'!$Z$56="Baja",'Mapa final'!$AB$56="Menor"),CONCATENATE("R9C",'Mapa final'!$P$56),"")</f>
        <v/>
      </c>
      <c r="Q44" s="25" t="str">
        <f>IF(AND('Mapa final'!$Z$57="Baja",'Mapa final'!$AB$57="Menor"),CONCATENATE("R9C",'Mapa final'!$P$57),"")</f>
        <v/>
      </c>
      <c r="R44" s="25" t="str">
        <f>IF(AND('Mapa final'!$Z$58="Baja",'Mapa final'!$AB$58="Menor"),CONCATENATE("R9C",'Mapa final'!$P$58),"")</f>
        <v/>
      </c>
      <c r="S44" s="25" t="str">
        <f>IF(AND('Mapa final'!$Z$59="Baja",'Mapa final'!$AB$59="Menor"),CONCATENATE("R9C",'Mapa final'!$P$59),"")</f>
        <v/>
      </c>
      <c r="T44" s="25" t="str">
        <f>IF(AND('Mapa final'!$Z$60="Baja",'Mapa final'!$AB$60="Menor"),CONCATENATE("R9C",'Mapa final'!$P$60),"")</f>
        <v/>
      </c>
      <c r="U44" s="26" t="str">
        <f>IF(AND('Mapa final'!$Z$61="Baja",'Mapa final'!$AB$61="Menor"),CONCATENATE("R9C",'Mapa final'!$P$61),"")</f>
        <v/>
      </c>
      <c r="V44" s="24" t="str">
        <f>IF(AND('Mapa final'!$Z$56="Baja",'Mapa final'!$AB$56="Moderado"),CONCATENATE("R9C",'Mapa final'!$P$56),"")</f>
        <v/>
      </c>
      <c r="W44" s="25" t="str">
        <f>IF(AND('Mapa final'!$Z$57="Baja",'Mapa final'!$AB$57="Moderado"),CONCATENATE("R9C",'Mapa final'!$P$57),"")</f>
        <v/>
      </c>
      <c r="X44" s="25" t="str">
        <f>IF(AND('Mapa final'!$Z$58="Baja",'Mapa final'!$AB$58="Moderado"),CONCATENATE("R9C",'Mapa final'!$P$58),"")</f>
        <v/>
      </c>
      <c r="Y44" s="25" t="str">
        <f>IF(AND('Mapa final'!$Z$59="Baja",'Mapa final'!$AB$59="Moderado"),CONCATENATE("R9C",'Mapa final'!$P$59),"")</f>
        <v/>
      </c>
      <c r="Z44" s="25" t="str">
        <f>IF(AND('Mapa final'!$Z$60="Baja",'Mapa final'!$AB$60="Moderado"),CONCATENATE("R9C",'Mapa final'!$P$60),"")</f>
        <v/>
      </c>
      <c r="AA44" s="26" t="str">
        <f>IF(AND('Mapa final'!$Z$61="Baja",'Mapa final'!$AB$61="Moderado"),CONCATENATE("R9C",'Mapa final'!$P$61),"")</f>
        <v/>
      </c>
      <c r="AB44" s="9" t="str">
        <f>IF(AND('Mapa final'!$Z$56="Baja",'Mapa final'!$AB$56="Mayor"),CONCATENATE("R9C",'Mapa final'!$P$56),"")</f>
        <v/>
      </c>
      <c r="AC44" s="10" t="str">
        <f>IF(AND('Mapa final'!$Z$57="Baja",'Mapa final'!$AB$57="Mayor"),CONCATENATE("R9C",'Mapa final'!$P$57),"")</f>
        <v/>
      </c>
      <c r="AD44" s="10" t="str">
        <f>IF(AND('Mapa final'!$Z$58="Baja",'Mapa final'!$AB$58="Mayor"),CONCATENATE("R9C",'Mapa final'!$P$58),"")</f>
        <v/>
      </c>
      <c r="AE44" s="10" t="str">
        <f>IF(AND('Mapa final'!$Z$59="Baja",'Mapa final'!$AB$59="Mayor"),CONCATENATE("R9C",'Mapa final'!$P$59),"")</f>
        <v/>
      </c>
      <c r="AF44" s="10" t="str">
        <f>IF(AND('Mapa final'!$Z$60="Baja",'Mapa final'!$AB$60="Mayor"),CONCATENATE("R9C",'Mapa final'!$P$60),"")</f>
        <v/>
      </c>
      <c r="AG44" s="11" t="str">
        <f>IF(AND('Mapa final'!$Z$61="Baja",'Mapa final'!$AB$61="Mayor"),CONCATENATE("R9C",'Mapa final'!$P$61),"")</f>
        <v/>
      </c>
      <c r="AH44" s="12" t="str">
        <f>IF(AND('Mapa final'!$Z$56="Baja",'Mapa final'!$AB$56="Catastrófico"),CONCATENATE("R9C",'Mapa final'!$P$56),"")</f>
        <v/>
      </c>
      <c r="AI44" s="13" t="str">
        <f>IF(AND('Mapa final'!$Z$57="Baja",'Mapa final'!$AB$57="Catastrófico"),CONCATENATE("R9C",'Mapa final'!$P$57),"")</f>
        <v/>
      </c>
      <c r="AJ44" s="13" t="str">
        <f>IF(AND('Mapa final'!$Z$58="Baja",'Mapa final'!$AB$58="Catastrófico"),CONCATENATE("R9C",'Mapa final'!$P$58),"")</f>
        <v/>
      </c>
      <c r="AK44" s="13" t="str">
        <f>IF(AND('Mapa final'!$Z$59="Baja",'Mapa final'!$AB$59="Catastrófico"),CONCATENATE("R9C",'Mapa final'!$P$59),"")</f>
        <v/>
      </c>
      <c r="AL44" s="13" t="str">
        <f>IF(AND('Mapa final'!$Z$60="Baja",'Mapa final'!$AB$60="Catastrófico"),CONCATENATE("R9C",'Mapa final'!$P$60),"")</f>
        <v/>
      </c>
      <c r="AM44" s="14" t="str">
        <f>IF(AND('Mapa final'!$Z$61="Baja",'Mapa final'!$AB$61="Catastrófico"),CONCATENATE("R9C",'Mapa final'!$P$61),"")</f>
        <v/>
      </c>
      <c r="AN44" s="40"/>
      <c r="AO44" s="336"/>
      <c r="AP44" s="337"/>
      <c r="AQ44" s="337"/>
      <c r="AR44" s="337"/>
      <c r="AS44" s="337"/>
      <c r="AT44" s="338"/>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row>
    <row r="45" spans="1:80" ht="15.75" customHeight="1" thickBot="1" x14ac:dyDescent="0.3">
      <c r="A45" s="40"/>
      <c r="B45" s="264"/>
      <c r="C45" s="264"/>
      <c r="D45" s="265"/>
      <c r="E45" s="308"/>
      <c r="F45" s="309"/>
      <c r="G45" s="309"/>
      <c r="H45" s="309"/>
      <c r="I45" s="309"/>
      <c r="J45" s="36" t="e">
        <f>IF(AND('Mapa final'!#REF!="Baja",'Mapa final'!#REF!="Leve"),CONCATENATE("R10C",'Mapa final'!#REF!),"")</f>
        <v>#REF!</v>
      </c>
      <c r="K45" s="37" t="e">
        <f>IF(AND('Mapa final'!#REF!="Baja",'Mapa final'!#REF!="Leve"),CONCATENATE("R10C",'Mapa final'!#REF!),"")</f>
        <v>#REF!</v>
      </c>
      <c r="L45" s="37" t="e">
        <f>IF(AND('Mapa final'!#REF!="Baja",'Mapa final'!#REF!="Leve"),CONCATENATE("R10C",'Mapa final'!#REF!),"")</f>
        <v>#REF!</v>
      </c>
      <c r="M45" s="37" t="e">
        <f>IF(AND('Mapa final'!#REF!="Baja",'Mapa final'!#REF!="Leve"),CONCATENATE("R10C",'Mapa final'!#REF!),"")</f>
        <v>#REF!</v>
      </c>
      <c r="N45" s="37" t="e">
        <f>IF(AND('Mapa final'!#REF!="Baja",'Mapa final'!#REF!="Leve"),CONCATENATE("R10C",'Mapa final'!#REF!),"")</f>
        <v>#REF!</v>
      </c>
      <c r="O45" s="38" t="e">
        <f>IF(AND('Mapa final'!#REF!="Baja",'Mapa final'!#REF!="Leve"),CONCATENATE("R10C",'Mapa final'!#REF!),"")</f>
        <v>#REF!</v>
      </c>
      <c r="P45" s="24" t="e">
        <f>IF(AND('Mapa final'!#REF!="Baja",'Mapa final'!#REF!="Menor"),CONCATENATE("R10C",'Mapa final'!#REF!),"")</f>
        <v>#REF!</v>
      </c>
      <c r="Q45" s="25" t="e">
        <f>IF(AND('Mapa final'!#REF!="Baja",'Mapa final'!#REF!="Menor"),CONCATENATE("R10C",'Mapa final'!#REF!),"")</f>
        <v>#REF!</v>
      </c>
      <c r="R45" s="25" t="e">
        <f>IF(AND('Mapa final'!#REF!="Baja",'Mapa final'!#REF!="Menor"),CONCATENATE("R10C",'Mapa final'!#REF!),"")</f>
        <v>#REF!</v>
      </c>
      <c r="S45" s="25" t="e">
        <f>IF(AND('Mapa final'!#REF!="Baja",'Mapa final'!#REF!="Menor"),CONCATENATE("R10C",'Mapa final'!#REF!),"")</f>
        <v>#REF!</v>
      </c>
      <c r="T45" s="25" t="e">
        <f>IF(AND('Mapa final'!#REF!="Baja",'Mapa final'!#REF!="Menor"),CONCATENATE("R10C",'Mapa final'!#REF!),"")</f>
        <v>#REF!</v>
      </c>
      <c r="U45" s="26" t="e">
        <f>IF(AND('Mapa final'!#REF!="Baja",'Mapa final'!#REF!="Menor"),CONCATENATE("R10C",'Mapa final'!#REF!),"")</f>
        <v>#REF!</v>
      </c>
      <c r="V45" s="27" t="e">
        <f>IF(AND('Mapa final'!#REF!="Baja",'Mapa final'!#REF!="Moderado"),CONCATENATE("R10C",'Mapa final'!#REF!),"")</f>
        <v>#REF!</v>
      </c>
      <c r="W45" s="28" t="e">
        <f>IF(AND('Mapa final'!#REF!="Baja",'Mapa final'!#REF!="Moderado"),CONCATENATE("R10C",'Mapa final'!#REF!),"")</f>
        <v>#REF!</v>
      </c>
      <c r="X45" s="28" t="e">
        <f>IF(AND('Mapa final'!#REF!="Baja",'Mapa final'!#REF!="Moderado"),CONCATENATE("R10C",'Mapa final'!#REF!),"")</f>
        <v>#REF!</v>
      </c>
      <c r="Y45" s="28" t="e">
        <f>IF(AND('Mapa final'!#REF!="Baja",'Mapa final'!#REF!="Moderado"),CONCATENATE("R10C",'Mapa final'!#REF!),"")</f>
        <v>#REF!</v>
      </c>
      <c r="Z45" s="28" t="e">
        <f>IF(AND('Mapa final'!#REF!="Baja",'Mapa final'!#REF!="Moderado"),CONCATENATE("R10C",'Mapa final'!#REF!),"")</f>
        <v>#REF!</v>
      </c>
      <c r="AA45" s="29" t="e">
        <f>IF(AND('Mapa final'!#REF!="Baja",'Mapa final'!#REF!="Moderado"),CONCATENATE("R10C",'Mapa final'!#REF!),"")</f>
        <v>#REF!</v>
      </c>
      <c r="AB45" s="15" t="e">
        <f>IF(AND('Mapa final'!#REF!="Baja",'Mapa final'!#REF!="Mayor"),CONCATENATE("R10C",'Mapa final'!#REF!),"")</f>
        <v>#REF!</v>
      </c>
      <c r="AC45" s="16" t="e">
        <f>IF(AND('Mapa final'!#REF!="Baja",'Mapa final'!#REF!="Mayor"),CONCATENATE("R10C",'Mapa final'!#REF!),"")</f>
        <v>#REF!</v>
      </c>
      <c r="AD45" s="16" t="e">
        <f>IF(AND('Mapa final'!#REF!="Baja",'Mapa final'!#REF!="Mayor"),CONCATENATE("R10C",'Mapa final'!#REF!),"")</f>
        <v>#REF!</v>
      </c>
      <c r="AE45" s="16" t="e">
        <f>IF(AND('Mapa final'!#REF!="Baja",'Mapa final'!#REF!="Mayor"),CONCATENATE("R10C",'Mapa final'!#REF!),"")</f>
        <v>#REF!</v>
      </c>
      <c r="AF45" s="16" t="e">
        <f>IF(AND('Mapa final'!#REF!="Baja",'Mapa final'!#REF!="Mayor"),CONCATENATE("R10C",'Mapa final'!#REF!),"")</f>
        <v>#REF!</v>
      </c>
      <c r="AG45" s="17" t="e">
        <f>IF(AND('Mapa final'!#REF!="Baja",'Mapa final'!#REF!="Mayor"),CONCATENATE("R10C",'Mapa final'!#REF!),"")</f>
        <v>#REF!</v>
      </c>
      <c r="AH45" s="18" t="e">
        <f>IF(AND('Mapa final'!#REF!="Baja",'Mapa final'!#REF!="Catastrófico"),CONCATENATE("R10C",'Mapa final'!#REF!),"")</f>
        <v>#REF!</v>
      </c>
      <c r="AI45" s="19" t="e">
        <f>IF(AND('Mapa final'!#REF!="Baja",'Mapa final'!#REF!="Catastrófico"),CONCATENATE("R10C",'Mapa final'!#REF!),"")</f>
        <v>#REF!</v>
      </c>
      <c r="AJ45" s="19" t="e">
        <f>IF(AND('Mapa final'!#REF!="Baja",'Mapa final'!#REF!="Catastrófico"),CONCATENATE("R10C",'Mapa final'!#REF!),"")</f>
        <v>#REF!</v>
      </c>
      <c r="AK45" s="19" t="e">
        <f>IF(AND('Mapa final'!#REF!="Baja",'Mapa final'!#REF!="Catastrófico"),CONCATENATE("R10C",'Mapa final'!#REF!),"")</f>
        <v>#REF!</v>
      </c>
      <c r="AL45" s="19" t="e">
        <f>IF(AND('Mapa final'!#REF!="Baja",'Mapa final'!#REF!="Catastrófico"),CONCATENATE("R10C",'Mapa final'!#REF!),"")</f>
        <v>#REF!</v>
      </c>
      <c r="AM45" s="20" t="e">
        <f>IF(AND('Mapa final'!#REF!="Baja",'Mapa final'!#REF!="Catastrófico"),CONCATENATE("R10C",'Mapa final'!#REF!),"")</f>
        <v>#REF!</v>
      </c>
      <c r="AN45" s="40"/>
      <c r="AO45" s="339"/>
      <c r="AP45" s="340"/>
      <c r="AQ45" s="340"/>
      <c r="AR45" s="340"/>
      <c r="AS45" s="340"/>
      <c r="AT45" s="341"/>
    </row>
    <row r="46" spans="1:80" ht="46.5" customHeight="1" x14ac:dyDescent="0.35">
      <c r="A46" s="40"/>
      <c r="B46" s="264"/>
      <c r="C46" s="264"/>
      <c r="D46" s="265"/>
      <c r="E46" s="302" t="s">
        <v>51</v>
      </c>
      <c r="F46" s="303"/>
      <c r="G46" s="303"/>
      <c r="H46" s="303"/>
      <c r="I46" s="304"/>
      <c r="J46" s="30" t="str">
        <f>IF(AND('Mapa final'!$Z$8="Muy Baja",'Mapa final'!$AB$8="Leve"),CONCATENATE("R1C",'Mapa final'!$P$8),"")</f>
        <v/>
      </c>
      <c r="K46" s="31" t="str">
        <f>IF(AND('Mapa final'!$Z$9="Muy Baja",'Mapa final'!$AB$9="Leve"),CONCATENATE("R1C",'Mapa final'!$P$9),"")</f>
        <v/>
      </c>
      <c r="L46" s="31" t="str">
        <f>IF(AND('Mapa final'!$Z$10="Muy Baja",'Mapa final'!$AB$10="Leve"),CONCATENATE("R1C",'Mapa final'!$P$10),"")</f>
        <v/>
      </c>
      <c r="M46" s="31" t="str">
        <f>IF(AND('Mapa final'!$Z$11="Muy Baja",'Mapa final'!$AB$11="Leve"),CONCATENATE("R1C",'Mapa final'!$P$11),"")</f>
        <v/>
      </c>
      <c r="N46" s="31" t="str">
        <f>IF(AND('Mapa final'!$Z$12="Muy Baja",'Mapa final'!$AB$12="Leve"),CONCATENATE("R1C",'Mapa final'!$P$12),"")</f>
        <v/>
      </c>
      <c r="O46" s="32" t="str">
        <f>IF(AND('Mapa final'!$Z$13="Muy Baja",'Mapa final'!$AB$13="Leve"),CONCATENATE("R1C",'Mapa final'!$P$13),"")</f>
        <v/>
      </c>
      <c r="P46" s="30" t="str">
        <f>IF(AND('Mapa final'!$Z$8="Muy Baja",'Mapa final'!$AB$8="Menor"),CONCATENATE("R1C",'Mapa final'!$P$8),"")</f>
        <v/>
      </c>
      <c r="Q46" s="31" t="str">
        <f>IF(AND('Mapa final'!$Z$9="Muy Baja",'Mapa final'!$AB$9="Menor"),CONCATENATE("R1C",'Mapa final'!$P$9),"")</f>
        <v/>
      </c>
      <c r="R46" s="31" t="str">
        <f>IF(AND('Mapa final'!$Z$10="Muy Baja",'Mapa final'!$AB$10="Menor"),CONCATENATE("R1C",'Mapa final'!$P$10),"")</f>
        <v/>
      </c>
      <c r="S46" s="31" t="str">
        <f>IF(AND('Mapa final'!$Z$11="Muy Baja",'Mapa final'!$AB$11="Menor"),CONCATENATE("R1C",'Mapa final'!$P$11),"")</f>
        <v/>
      </c>
      <c r="T46" s="31" t="str">
        <f>IF(AND('Mapa final'!$Z$12="Muy Baja",'Mapa final'!$AB$12="Menor"),CONCATENATE("R1C",'Mapa final'!$P$12),"")</f>
        <v/>
      </c>
      <c r="U46" s="32" t="str">
        <f>IF(AND('Mapa final'!$Z$13="Muy Baja",'Mapa final'!$AB$13="Menor"),CONCATENATE("R1C",'Mapa final'!$P$13),"")</f>
        <v/>
      </c>
      <c r="V46" s="21" t="str">
        <f>IF(AND('Mapa final'!$Z$8="Muy Baja",'Mapa final'!$AB$8="Moderado"),CONCATENATE("R1C",'Mapa final'!$P$8),"")</f>
        <v/>
      </c>
      <c r="W46" s="39" t="str">
        <f>IF(AND('Mapa final'!$Z$9="Muy Baja",'Mapa final'!$AB$9="Moderado"),CONCATENATE("R1C",'Mapa final'!$P$9),"")</f>
        <v/>
      </c>
      <c r="X46" s="22" t="str">
        <f>IF(AND('Mapa final'!$Z$10="Muy Baja",'Mapa final'!$AB$10="Moderado"),CONCATENATE("R1C",'Mapa final'!$P$10),"")</f>
        <v/>
      </c>
      <c r="Y46" s="22" t="str">
        <f>IF(AND('Mapa final'!$Z$11="Muy Baja",'Mapa final'!$AB$11="Moderado"),CONCATENATE("R1C",'Mapa final'!$P$11),"")</f>
        <v/>
      </c>
      <c r="Z46" s="22" t="str">
        <f>IF(AND('Mapa final'!$Z$12="Muy Baja",'Mapa final'!$AB$12="Moderado"),CONCATENATE("R1C",'Mapa final'!$P$12),"")</f>
        <v/>
      </c>
      <c r="AA46" s="23" t="str">
        <f>IF(AND('Mapa final'!$Z$13="Muy Baja",'Mapa final'!$AB$13="Moderado"),CONCATENATE("R1C",'Mapa final'!$P$13),"")</f>
        <v/>
      </c>
      <c r="AB46" s="3" t="str">
        <f>IF(AND('Mapa final'!$Z$8="Muy Baja",'Mapa final'!$AB$8="Mayor"),CONCATENATE("R1C",'Mapa final'!$P$8),"")</f>
        <v/>
      </c>
      <c r="AC46" s="4" t="str">
        <f>IF(AND('Mapa final'!$Z$9="Muy Baja",'Mapa final'!$AB$9="Mayor"),CONCATENATE("R1C",'Mapa final'!$P$9),"")</f>
        <v/>
      </c>
      <c r="AD46" s="4" t="str">
        <f>IF(AND('Mapa final'!$Z$10="Muy Baja",'Mapa final'!$AB$10="Mayor"),CONCATENATE("R1C",'Mapa final'!$P$10),"")</f>
        <v/>
      </c>
      <c r="AE46" s="4" t="str">
        <f>IF(AND('Mapa final'!$Z$11="Muy Baja",'Mapa final'!$AB$11="Mayor"),CONCATENATE("R1C",'Mapa final'!$P$11),"")</f>
        <v/>
      </c>
      <c r="AF46" s="4" t="str">
        <f>IF(AND('Mapa final'!$Z$12="Muy Baja",'Mapa final'!$AB$12="Mayor"),CONCATENATE("R1C",'Mapa final'!$P$12),"")</f>
        <v/>
      </c>
      <c r="AG46" s="5" t="str">
        <f>IF(AND('Mapa final'!$Z$13="Muy Baja",'Mapa final'!$AB$13="Mayor"),CONCATENATE("R1C",'Mapa final'!$P$13),"")</f>
        <v/>
      </c>
      <c r="AH46" s="6" t="str">
        <f>IF(AND('Mapa final'!$Z$8="Muy Baja",'Mapa final'!$AB$8="Catastrófico"),CONCATENATE("R1C",'Mapa final'!$P$8),"")</f>
        <v/>
      </c>
      <c r="AI46" s="7" t="str">
        <f>IF(AND('Mapa final'!$Z$9="Muy Baja",'Mapa final'!$AB$9="Catastrófico"),CONCATENATE("R1C",'Mapa final'!$P$9),"")</f>
        <v/>
      </c>
      <c r="AJ46" s="7" t="str">
        <f>IF(AND('Mapa final'!$Z$10="Muy Baja",'Mapa final'!$AB$10="Catastrófico"),CONCATENATE("R1C",'Mapa final'!$P$10),"")</f>
        <v/>
      </c>
      <c r="AK46" s="7" t="str">
        <f>IF(AND('Mapa final'!$Z$11="Muy Baja",'Mapa final'!$AB$11="Catastrófico"),CONCATENATE("R1C",'Mapa final'!$P$11),"")</f>
        <v/>
      </c>
      <c r="AL46" s="7" t="str">
        <f>IF(AND('Mapa final'!$Z$12="Muy Baja",'Mapa final'!$AB$12="Catastrófico"),CONCATENATE("R1C",'Mapa final'!$P$12),"")</f>
        <v/>
      </c>
      <c r="AM46" s="8" t="str">
        <f>IF(AND('Mapa final'!$Z$13="Muy Baja",'Mapa final'!$AB$13="Catastrófico"),CONCATENATE("R1C",'Mapa final'!$P$13),"")</f>
        <v/>
      </c>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row>
    <row r="47" spans="1:80" ht="46.5" customHeight="1" x14ac:dyDescent="0.25">
      <c r="A47" s="40"/>
      <c r="B47" s="264"/>
      <c r="C47" s="264"/>
      <c r="D47" s="265"/>
      <c r="E47" s="321"/>
      <c r="F47" s="306"/>
      <c r="G47" s="306"/>
      <c r="H47" s="306"/>
      <c r="I47" s="307"/>
      <c r="J47" s="33" t="str">
        <f>IF(AND('Mapa final'!$Z$14="Muy Baja",'Mapa final'!$AB$14="Leve"),CONCATENATE("R2C",'Mapa final'!$P$14),"")</f>
        <v/>
      </c>
      <c r="K47" s="34" t="str">
        <f>IF(AND('Mapa final'!$Z$15="Muy Baja",'Mapa final'!$AB$15="Leve"),CONCATENATE("R2C",'Mapa final'!$P$15),"")</f>
        <v/>
      </c>
      <c r="L47" s="34" t="str">
        <f>IF(AND('Mapa final'!$Z$16="Muy Baja",'Mapa final'!$AB$16="Leve"),CONCATENATE("R2C",'Mapa final'!$P$16),"")</f>
        <v/>
      </c>
      <c r="M47" s="34" t="str">
        <f>IF(AND('Mapa final'!$Z$17="Muy Baja",'Mapa final'!$AB$17="Leve"),CONCATENATE("R2C",'Mapa final'!$P$17),"")</f>
        <v/>
      </c>
      <c r="N47" s="34" t="str">
        <f>IF(AND('Mapa final'!$Z$18="Muy Baja",'Mapa final'!$AB$18="Leve"),CONCATENATE("R2C",'Mapa final'!$P$18),"")</f>
        <v/>
      </c>
      <c r="O47" s="35" t="str">
        <f>IF(AND('Mapa final'!$Z$19="Muy Baja",'Mapa final'!$AB$19="Leve"),CONCATENATE("R2C",'Mapa final'!$P$19),"")</f>
        <v/>
      </c>
      <c r="P47" s="33" t="str">
        <f>IF(AND('Mapa final'!$Z$14="Muy Baja",'Mapa final'!$AB$14="Menor"),CONCATENATE("R2C",'Mapa final'!$P$14),"")</f>
        <v/>
      </c>
      <c r="Q47" s="34" t="str">
        <f>IF(AND('Mapa final'!$Z$15="Muy Baja",'Mapa final'!$AB$15="Menor"),CONCATENATE("R2C",'Mapa final'!$P$15),"")</f>
        <v/>
      </c>
      <c r="R47" s="34" t="str">
        <f>IF(AND('Mapa final'!$Z$16="Muy Baja",'Mapa final'!$AB$16="Menor"),CONCATENATE("R2C",'Mapa final'!$P$16),"")</f>
        <v/>
      </c>
      <c r="S47" s="34" t="str">
        <f>IF(AND('Mapa final'!$Z$17="Muy Baja",'Mapa final'!$AB$17="Menor"),CONCATENATE("R2C",'Mapa final'!$P$17),"")</f>
        <v/>
      </c>
      <c r="T47" s="34" t="str">
        <f>IF(AND('Mapa final'!$Z$18="Muy Baja",'Mapa final'!$AB$18="Menor"),CONCATENATE("R2C",'Mapa final'!$P$18),"")</f>
        <v/>
      </c>
      <c r="U47" s="35" t="str">
        <f>IF(AND('Mapa final'!$Z$19="Muy Baja",'Mapa final'!$AB$19="Menor"),CONCATENATE("R2C",'Mapa final'!$P$19),"")</f>
        <v/>
      </c>
      <c r="V47" s="24" t="str">
        <f>IF(AND('Mapa final'!$Z$14="Muy Baja",'Mapa final'!$AB$14="Moderado"),CONCATENATE("R2C",'Mapa final'!$P$14),"")</f>
        <v/>
      </c>
      <c r="W47" s="25" t="str">
        <f>IF(AND('Mapa final'!$Z$15="Muy Baja",'Mapa final'!$AB$15="Moderado"),CONCATENATE("R2C",'Mapa final'!$P$15),"")</f>
        <v/>
      </c>
      <c r="X47" s="25" t="str">
        <f>IF(AND('Mapa final'!$Z$16="Muy Baja",'Mapa final'!$AB$16="Moderado"),CONCATENATE("R2C",'Mapa final'!$P$16),"")</f>
        <v/>
      </c>
      <c r="Y47" s="25" t="str">
        <f>IF(AND('Mapa final'!$Z$17="Muy Baja",'Mapa final'!$AB$17="Moderado"),CONCATENATE("R2C",'Mapa final'!$P$17),"")</f>
        <v/>
      </c>
      <c r="Z47" s="25" t="str">
        <f>IF(AND('Mapa final'!$Z$18="Muy Baja",'Mapa final'!$AB$18="Moderado"),CONCATENATE("R2C",'Mapa final'!$P$18),"")</f>
        <v/>
      </c>
      <c r="AA47" s="26" t="str">
        <f>IF(AND('Mapa final'!$Z$19="Muy Baja",'Mapa final'!$AB$19="Moderado"),CONCATENATE("R2C",'Mapa final'!$P$19),"")</f>
        <v/>
      </c>
      <c r="AB47" s="9" t="str">
        <f>IF(AND('Mapa final'!$Z$14="Muy Baja",'Mapa final'!$AB$14="Mayor"),CONCATENATE("R2C",'Mapa final'!$P$14),"")</f>
        <v/>
      </c>
      <c r="AC47" s="10" t="str">
        <f>IF(AND('Mapa final'!$Z$15="Muy Baja",'Mapa final'!$AB$15="Mayor"),CONCATENATE("R2C",'Mapa final'!$P$15),"")</f>
        <v/>
      </c>
      <c r="AD47" s="10" t="str">
        <f>IF(AND('Mapa final'!$Z$16="Muy Baja",'Mapa final'!$AB$16="Mayor"),CONCATENATE("R2C",'Mapa final'!$P$16),"")</f>
        <v/>
      </c>
      <c r="AE47" s="10" t="str">
        <f>IF(AND('Mapa final'!$Z$17="Muy Baja",'Mapa final'!$AB$17="Mayor"),CONCATENATE("R2C",'Mapa final'!$P$17),"")</f>
        <v/>
      </c>
      <c r="AF47" s="10" t="str">
        <f>IF(AND('Mapa final'!$Z$18="Muy Baja",'Mapa final'!$AB$18="Mayor"),CONCATENATE("R2C",'Mapa final'!$P$18),"")</f>
        <v/>
      </c>
      <c r="AG47" s="11" t="str">
        <f>IF(AND('Mapa final'!$Z$19="Muy Baja",'Mapa final'!$AB$19="Mayor"),CONCATENATE("R2C",'Mapa final'!$P$19),"")</f>
        <v/>
      </c>
      <c r="AH47" s="12" t="str">
        <f>IF(AND('Mapa final'!$Z$14="Muy Baja",'Mapa final'!$AB$14="Catastrófico"),CONCATENATE("R2C",'Mapa final'!$P$14),"")</f>
        <v/>
      </c>
      <c r="AI47" s="13" t="str">
        <f>IF(AND('Mapa final'!$Z$15="Muy Baja",'Mapa final'!$AB$15="Catastrófico"),CONCATENATE("R2C",'Mapa final'!$P$15),"")</f>
        <v/>
      </c>
      <c r="AJ47" s="13" t="str">
        <f>IF(AND('Mapa final'!$Z$16="Muy Baja",'Mapa final'!$AB$16="Catastrófico"),CONCATENATE("R2C",'Mapa final'!$P$16),"")</f>
        <v/>
      </c>
      <c r="AK47" s="13" t="str">
        <f>IF(AND('Mapa final'!$Z$17="Muy Baja",'Mapa final'!$AB$17="Catastrófico"),CONCATENATE("R2C",'Mapa final'!$P$17),"")</f>
        <v/>
      </c>
      <c r="AL47" s="13" t="str">
        <f>IF(AND('Mapa final'!$Z$18="Muy Baja",'Mapa final'!$AB$18="Catastrófico"),CONCATENATE("R2C",'Mapa final'!$P$18),"")</f>
        <v/>
      </c>
      <c r="AM47" s="14" t="str">
        <f>IF(AND('Mapa final'!$Z$19="Muy Baja",'Mapa final'!$AB$19="Catastrófico"),CONCATENATE("R2C",'Mapa final'!$P$19),"")</f>
        <v/>
      </c>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row>
    <row r="48" spans="1:80" ht="15" customHeight="1" x14ac:dyDescent="0.25">
      <c r="A48" s="40"/>
      <c r="B48" s="264"/>
      <c r="C48" s="264"/>
      <c r="D48" s="265"/>
      <c r="E48" s="321"/>
      <c r="F48" s="306"/>
      <c r="G48" s="306"/>
      <c r="H48" s="306"/>
      <c r="I48" s="307"/>
      <c r="J48" s="33" t="str">
        <f>IF(AND('Mapa final'!$Z$20="Muy Baja",'Mapa final'!$AB$20="Leve"),CONCATENATE("R3C",'Mapa final'!$P$20),"")</f>
        <v/>
      </c>
      <c r="K48" s="34" t="str">
        <f>IF(AND('Mapa final'!$Z$21="Muy Baja",'Mapa final'!$AB$21="Leve"),CONCATENATE("R3C",'Mapa final'!$P$21),"")</f>
        <v/>
      </c>
      <c r="L48" s="34" t="str">
        <f>IF(AND('Mapa final'!$Z$22="Muy Baja",'Mapa final'!$AB$22="Leve"),CONCATENATE("R3C",'Mapa final'!$P$22),"")</f>
        <v/>
      </c>
      <c r="M48" s="34" t="str">
        <f>IF(AND('Mapa final'!$Z$23="Muy Baja",'Mapa final'!$AB$23="Leve"),CONCATENATE("R3C",'Mapa final'!$P$23),"")</f>
        <v/>
      </c>
      <c r="N48" s="34" t="str">
        <f>IF(AND('Mapa final'!$Z$24="Muy Baja",'Mapa final'!$AB$24="Leve"),CONCATENATE("R3C",'Mapa final'!$P$24),"")</f>
        <v/>
      </c>
      <c r="O48" s="35" t="str">
        <f>IF(AND('Mapa final'!$Z$25="Muy Baja",'Mapa final'!$AB$25="Leve"),CONCATENATE("R3C",'Mapa final'!$P$25),"")</f>
        <v/>
      </c>
      <c r="P48" s="33" t="str">
        <f>IF(AND('Mapa final'!$Z$20="Muy Baja",'Mapa final'!$AB$20="Menor"),CONCATENATE("R3C",'Mapa final'!$P$20),"")</f>
        <v/>
      </c>
      <c r="Q48" s="34" t="str">
        <f>IF(AND('Mapa final'!$Z$21="Muy Baja",'Mapa final'!$AB$21="Menor"),CONCATENATE("R3C",'Mapa final'!$P$21),"")</f>
        <v/>
      </c>
      <c r="R48" s="34" t="str">
        <f>IF(AND('Mapa final'!$Z$22="Muy Baja",'Mapa final'!$AB$22="Menor"),CONCATENATE("R3C",'Mapa final'!$P$22),"")</f>
        <v/>
      </c>
      <c r="S48" s="34" t="str">
        <f>IF(AND('Mapa final'!$Z$23="Muy Baja",'Mapa final'!$AB$23="Menor"),CONCATENATE("R3C",'Mapa final'!$P$23),"")</f>
        <v/>
      </c>
      <c r="T48" s="34" t="str">
        <f>IF(AND('Mapa final'!$Z$24="Muy Baja",'Mapa final'!$AB$24="Menor"),CONCATENATE("R3C",'Mapa final'!$P$24),"")</f>
        <v/>
      </c>
      <c r="U48" s="35" t="str">
        <f>IF(AND('Mapa final'!$Z$25="Muy Baja",'Mapa final'!$AB$25="Menor"),CONCATENATE("R3C",'Mapa final'!$P$25),"")</f>
        <v/>
      </c>
      <c r="V48" s="24" t="str">
        <f>IF(AND('Mapa final'!$Z$20="Muy Baja",'Mapa final'!$AB$20="Moderado"),CONCATENATE("R3C",'Mapa final'!$P$20),"")</f>
        <v/>
      </c>
      <c r="W48" s="25" t="str">
        <f>IF(AND('Mapa final'!$Z$21="Muy Baja",'Mapa final'!$AB$21="Moderado"),CONCATENATE("R3C",'Mapa final'!$P$21),"")</f>
        <v/>
      </c>
      <c r="X48" s="25" t="str">
        <f>IF(AND('Mapa final'!$Z$22="Muy Baja",'Mapa final'!$AB$22="Moderado"),CONCATENATE("R3C",'Mapa final'!$P$22),"")</f>
        <v/>
      </c>
      <c r="Y48" s="25" t="str">
        <f>IF(AND('Mapa final'!$Z$23="Muy Baja",'Mapa final'!$AB$23="Moderado"),CONCATENATE("R3C",'Mapa final'!$P$23),"")</f>
        <v/>
      </c>
      <c r="Z48" s="25" t="str">
        <f>IF(AND('Mapa final'!$Z$24="Muy Baja",'Mapa final'!$AB$24="Moderado"),CONCATENATE("R3C",'Mapa final'!$P$24),"")</f>
        <v/>
      </c>
      <c r="AA48" s="26" t="str">
        <f>IF(AND('Mapa final'!$Z$25="Muy Baja",'Mapa final'!$AB$25="Moderado"),CONCATENATE("R3C",'Mapa final'!$P$25),"")</f>
        <v/>
      </c>
      <c r="AB48" s="9" t="str">
        <f>IF(AND('Mapa final'!$Z$20="Muy Baja",'Mapa final'!$AB$20="Mayor"),CONCATENATE("R3C",'Mapa final'!$P$20),"")</f>
        <v/>
      </c>
      <c r="AC48" s="10" t="str">
        <f>IF(AND('Mapa final'!$Z$21="Muy Baja",'Mapa final'!$AB$21="Mayor"),CONCATENATE("R3C",'Mapa final'!$P$21),"")</f>
        <v/>
      </c>
      <c r="AD48" s="10" t="str">
        <f>IF(AND('Mapa final'!$Z$22="Muy Baja",'Mapa final'!$AB$22="Mayor"),CONCATENATE("R3C",'Mapa final'!$P$22),"")</f>
        <v/>
      </c>
      <c r="AE48" s="10" t="str">
        <f>IF(AND('Mapa final'!$Z$23="Muy Baja",'Mapa final'!$AB$23="Mayor"),CONCATENATE("R3C",'Mapa final'!$P$23),"")</f>
        <v/>
      </c>
      <c r="AF48" s="10" t="str">
        <f>IF(AND('Mapa final'!$Z$24="Muy Baja",'Mapa final'!$AB$24="Mayor"),CONCATENATE("R3C",'Mapa final'!$P$24),"")</f>
        <v/>
      </c>
      <c r="AG48" s="11" t="str">
        <f>IF(AND('Mapa final'!$Z$25="Muy Baja",'Mapa final'!$AB$25="Mayor"),CONCATENATE("R3C",'Mapa final'!$P$25),"")</f>
        <v/>
      </c>
      <c r="AH48" s="12" t="str">
        <f>IF(AND('Mapa final'!$Z$20="Muy Baja",'Mapa final'!$AB$20="Catastrófico"),CONCATENATE("R3C",'Mapa final'!$P$20),"")</f>
        <v/>
      </c>
      <c r="AI48" s="13" t="str">
        <f>IF(AND('Mapa final'!$Z$21="Muy Baja",'Mapa final'!$AB$21="Catastrófico"),CONCATENATE("R3C",'Mapa final'!$P$21),"")</f>
        <v/>
      </c>
      <c r="AJ48" s="13" t="str">
        <f>IF(AND('Mapa final'!$Z$22="Muy Baja",'Mapa final'!$AB$22="Catastrófico"),CONCATENATE("R3C",'Mapa final'!$P$22),"")</f>
        <v/>
      </c>
      <c r="AK48" s="13" t="str">
        <f>IF(AND('Mapa final'!$Z$23="Muy Baja",'Mapa final'!$AB$23="Catastrófico"),CONCATENATE("R3C",'Mapa final'!$P$23),"")</f>
        <v/>
      </c>
      <c r="AL48" s="13" t="str">
        <f>IF(AND('Mapa final'!$Z$24="Muy Baja",'Mapa final'!$AB$24="Catastrófico"),CONCATENATE("R3C",'Mapa final'!$P$24),"")</f>
        <v/>
      </c>
      <c r="AM48" s="14" t="str">
        <f>IF(AND('Mapa final'!$Z$25="Muy Baja",'Mapa final'!$AB$25="Catastrófico"),CONCATENATE("R3C",'Mapa final'!$P$25),"")</f>
        <v/>
      </c>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row>
    <row r="49" spans="1:80" ht="15" customHeight="1" x14ac:dyDescent="0.25">
      <c r="A49" s="40"/>
      <c r="B49" s="264"/>
      <c r="C49" s="264"/>
      <c r="D49" s="265"/>
      <c r="E49" s="305"/>
      <c r="F49" s="306"/>
      <c r="G49" s="306"/>
      <c r="H49" s="306"/>
      <c r="I49" s="307"/>
      <c r="J49" s="33" t="str">
        <f>IF(AND('Mapa final'!$Z$26="Muy Baja",'Mapa final'!$AB$26="Leve"),CONCATENATE("R4C",'Mapa final'!$P$26),"")</f>
        <v/>
      </c>
      <c r="K49" s="34" t="str">
        <f>IF(AND('Mapa final'!$Z$27="Muy Baja",'Mapa final'!$AB$27="Leve"),CONCATENATE("R4C",'Mapa final'!$P$27),"")</f>
        <v/>
      </c>
      <c r="L49" s="34" t="str">
        <f>IF(AND('Mapa final'!$Z$28="Muy Baja",'Mapa final'!$AB$28="Leve"),CONCATENATE("R4C",'Mapa final'!$P$28),"")</f>
        <v/>
      </c>
      <c r="M49" s="34" t="str">
        <f>IF(AND('Mapa final'!$Z$29="Muy Baja",'Mapa final'!$AB$29="Leve"),CONCATENATE("R4C",'Mapa final'!$P$29),"")</f>
        <v/>
      </c>
      <c r="N49" s="34" t="str">
        <f>IF(AND('Mapa final'!$Z$30="Muy Baja",'Mapa final'!$AB$30="Leve"),CONCATENATE("R4C",'Mapa final'!$P$30),"")</f>
        <v/>
      </c>
      <c r="O49" s="35" t="str">
        <f>IF(AND('Mapa final'!$Z$31="Muy Baja",'Mapa final'!$AB$31="Leve"),CONCATENATE("R4C",'Mapa final'!$P$31),"")</f>
        <v/>
      </c>
      <c r="P49" s="33" t="str">
        <f>IF(AND('Mapa final'!$Z$26="Muy Baja",'Mapa final'!$AB$26="Menor"),CONCATENATE("R4C",'Mapa final'!$P$26),"")</f>
        <v/>
      </c>
      <c r="Q49" s="34" t="str">
        <f>IF(AND('Mapa final'!$Z$27="Muy Baja",'Mapa final'!$AB$27="Menor"),CONCATENATE("R4C",'Mapa final'!$P$27),"")</f>
        <v/>
      </c>
      <c r="R49" s="34" t="str">
        <f>IF(AND('Mapa final'!$Z$28="Muy Baja",'Mapa final'!$AB$28="Menor"),CONCATENATE("R4C",'Mapa final'!$P$28),"")</f>
        <v/>
      </c>
      <c r="S49" s="34" t="str">
        <f>IF(AND('Mapa final'!$Z$29="Muy Baja",'Mapa final'!$AB$29="Menor"),CONCATENATE("R4C",'Mapa final'!$P$29),"")</f>
        <v/>
      </c>
      <c r="T49" s="34" t="str">
        <f>IF(AND('Mapa final'!$Z$30="Muy Baja",'Mapa final'!$AB$30="Menor"),CONCATENATE("R4C",'Mapa final'!$P$30),"")</f>
        <v/>
      </c>
      <c r="U49" s="35" t="str">
        <f>IF(AND('Mapa final'!$Z$31="Muy Baja",'Mapa final'!$AB$31="Menor"),CONCATENATE("R4C",'Mapa final'!$P$31),"")</f>
        <v/>
      </c>
      <c r="V49" s="24" t="str">
        <f>IF(AND('Mapa final'!$Z$26="Muy Baja",'Mapa final'!$AB$26="Moderado"),CONCATENATE("R4C",'Mapa final'!$P$26),"")</f>
        <v/>
      </c>
      <c r="W49" s="25" t="str">
        <f>IF(AND('Mapa final'!$Z$27="Muy Baja",'Mapa final'!$AB$27="Moderado"),CONCATENATE("R4C",'Mapa final'!$P$27),"")</f>
        <v/>
      </c>
      <c r="X49" s="25" t="str">
        <f>IF(AND('Mapa final'!$Z$28="Muy Baja",'Mapa final'!$AB$28="Moderado"),CONCATENATE("R4C",'Mapa final'!$P$28),"")</f>
        <v/>
      </c>
      <c r="Y49" s="25" t="str">
        <f>IF(AND('Mapa final'!$Z$29="Muy Baja",'Mapa final'!$AB$29="Moderado"),CONCATENATE("R4C",'Mapa final'!$P$29),"")</f>
        <v/>
      </c>
      <c r="Z49" s="25" t="str">
        <f>IF(AND('Mapa final'!$Z$30="Muy Baja",'Mapa final'!$AB$30="Moderado"),CONCATENATE("R4C",'Mapa final'!$P$30),"")</f>
        <v/>
      </c>
      <c r="AA49" s="26" t="str">
        <f>IF(AND('Mapa final'!$Z$31="Muy Baja",'Mapa final'!$AB$31="Moderado"),CONCATENATE("R4C",'Mapa final'!$P$31),"")</f>
        <v/>
      </c>
      <c r="AB49" s="9" t="str">
        <f>IF(AND('Mapa final'!$Z$26="Muy Baja",'Mapa final'!$AB$26="Mayor"),CONCATENATE("R4C",'Mapa final'!$P$26),"")</f>
        <v/>
      </c>
      <c r="AC49" s="10" t="str">
        <f>IF(AND('Mapa final'!$Z$27="Muy Baja",'Mapa final'!$AB$27="Mayor"),CONCATENATE("R4C",'Mapa final'!$P$27),"")</f>
        <v/>
      </c>
      <c r="AD49" s="10" t="str">
        <f>IF(AND('Mapa final'!$Z$28="Muy Baja",'Mapa final'!$AB$28="Mayor"),CONCATENATE("R4C",'Mapa final'!$P$28),"")</f>
        <v/>
      </c>
      <c r="AE49" s="10" t="str">
        <f>IF(AND('Mapa final'!$Z$29="Muy Baja",'Mapa final'!$AB$29="Mayor"),CONCATENATE("R4C",'Mapa final'!$P$29),"")</f>
        <v/>
      </c>
      <c r="AF49" s="10" t="str">
        <f>IF(AND('Mapa final'!$Z$30="Muy Baja",'Mapa final'!$AB$30="Mayor"),CONCATENATE("R4C",'Mapa final'!$P$30),"")</f>
        <v/>
      </c>
      <c r="AG49" s="11" t="str">
        <f>IF(AND('Mapa final'!$Z$31="Muy Baja",'Mapa final'!$AB$31="Mayor"),CONCATENATE("R4C",'Mapa final'!$P$31),"")</f>
        <v/>
      </c>
      <c r="AH49" s="12" t="str">
        <f>IF(AND('Mapa final'!$Z$26="Muy Baja",'Mapa final'!$AB$26="Catastrófico"),CONCATENATE("R4C",'Mapa final'!$P$26),"")</f>
        <v/>
      </c>
      <c r="AI49" s="13" t="str">
        <f>IF(AND('Mapa final'!$Z$27="Muy Baja",'Mapa final'!$AB$27="Catastrófico"),CONCATENATE("R4C",'Mapa final'!$P$27),"")</f>
        <v/>
      </c>
      <c r="AJ49" s="13" t="str">
        <f>IF(AND('Mapa final'!$Z$28="Muy Baja",'Mapa final'!$AB$28="Catastrófico"),CONCATENATE("R4C",'Mapa final'!$P$28),"")</f>
        <v/>
      </c>
      <c r="AK49" s="13" t="str">
        <f>IF(AND('Mapa final'!$Z$29="Muy Baja",'Mapa final'!$AB$29="Catastrófico"),CONCATENATE("R4C",'Mapa final'!$P$29),"")</f>
        <v/>
      </c>
      <c r="AL49" s="13" t="str">
        <f>IF(AND('Mapa final'!$Z$30="Muy Baja",'Mapa final'!$AB$30="Catastrófico"),CONCATENATE("R4C",'Mapa final'!$P$30),"")</f>
        <v/>
      </c>
      <c r="AM49" s="14" t="str">
        <f>IF(AND('Mapa final'!$Z$31="Muy Baja",'Mapa final'!$AB$31="Catastrófico"),CONCATENATE("R4C",'Mapa final'!$P$31),"")</f>
        <v/>
      </c>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row>
    <row r="50" spans="1:80" ht="15" customHeight="1" x14ac:dyDescent="0.25">
      <c r="A50" s="40"/>
      <c r="B50" s="264"/>
      <c r="C50" s="264"/>
      <c r="D50" s="265"/>
      <c r="E50" s="305"/>
      <c r="F50" s="306"/>
      <c r="G50" s="306"/>
      <c r="H50" s="306"/>
      <c r="I50" s="307"/>
      <c r="J50" s="33" t="str">
        <f>IF(AND('Mapa final'!$Z$32="Muy Baja",'Mapa final'!$AB$32="Leve"),CONCATENATE("R5C",'Mapa final'!$P$32),"")</f>
        <v/>
      </c>
      <c r="K50" s="34" t="str">
        <f>IF(AND('Mapa final'!$Z$33="Muy Baja",'Mapa final'!$AB$33="Leve"),CONCATENATE("R5C",'Mapa final'!$P$33),"")</f>
        <v/>
      </c>
      <c r="L50" s="34" t="str">
        <f>IF(AND('Mapa final'!$Z$34="Muy Baja",'Mapa final'!$AB$34="Leve"),CONCATENATE("R5C",'Mapa final'!$P$34),"")</f>
        <v/>
      </c>
      <c r="M50" s="34" t="str">
        <f>IF(AND('Mapa final'!$Z$35="Muy Baja",'Mapa final'!$AB$35="Leve"),CONCATENATE("R5C",'Mapa final'!$P$35),"")</f>
        <v/>
      </c>
      <c r="N50" s="34" t="str">
        <f>IF(AND('Mapa final'!$Z$36="Muy Baja",'Mapa final'!$AB$36="Leve"),CONCATENATE("R5C",'Mapa final'!$P$36),"")</f>
        <v/>
      </c>
      <c r="O50" s="35" t="str">
        <f>IF(AND('Mapa final'!$Z$37="Muy Baja",'Mapa final'!$AB$37="Leve"),CONCATENATE("R5C",'Mapa final'!$P$37),"")</f>
        <v/>
      </c>
      <c r="P50" s="33" t="str">
        <f>IF(AND('Mapa final'!$Z$32="Muy Baja",'Mapa final'!$AB$32="Menor"),CONCATENATE("R5C",'Mapa final'!$P$32),"")</f>
        <v/>
      </c>
      <c r="Q50" s="34" t="str">
        <f>IF(AND('Mapa final'!$Z$33="Muy Baja",'Mapa final'!$AB$33="Menor"),CONCATENATE("R5C",'Mapa final'!$P$33),"")</f>
        <v/>
      </c>
      <c r="R50" s="34" t="str">
        <f>IF(AND('Mapa final'!$Z$34="Muy Baja",'Mapa final'!$AB$34="Menor"),CONCATENATE("R5C",'Mapa final'!$P$34),"")</f>
        <v/>
      </c>
      <c r="S50" s="34" t="str">
        <f>IF(AND('Mapa final'!$Z$35="Muy Baja",'Mapa final'!$AB$35="Menor"),CONCATENATE("R5C",'Mapa final'!$P$35),"")</f>
        <v/>
      </c>
      <c r="T50" s="34" t="str">
        <f>IF(AND('Mapa final'!$Z$36="Muy Baja",'Mapa final'!$AB$36="Menor"),CONCATENATE("R5C",'Mapa final'!$P$36),"")</f>
        <v/>
      </c>
      <c r="U50" s="35" t="str">
        <f>IF(AND('Mapa final'!$Z$37="Muy Baja",'Mapa final'!$AB$37="Menor"),CONCATENATE("R5C",'Mapa final'!$P$37),"")</f>
        <v/>
      </c>
      <c r="V50" s="24" t="str">
        <f>IF(AND('Mapa final'!$Z$32="Muy Baja",'Mapa final'!$AB$32="Moderado"),CONCATENATE("R5C",'Mapa final'!$P$32),"")</f>
        <v/>
      </c>
      <c r="W50" s="25" t="str">
        <f>IF(AND('Mapa final'!$Z$33="Muy Baja",'Mapa final'!$AB$33="Moderado"),CONCATENATE("R5C",'Mapa final'!$P$33),"")</f>
        <v/>
      </c>
      <c r="X50" s="25" t="str">
        <f>IF(AND('Mapa final'!$Z$34="Muy Baja",'Mapa final'!$AB$34="Moderado"),CONCATENATE("R5C",'Mapa final'!$P$34),"")</f>
        <v/>
      </c>
      <c r="Y50" s="25" t="str">
        <f>IF(AND('Mapa final'!$Z$35="Muy Baja",'Mapa final'!$AB$35="Moderado"),CONCATENATE("R5C",'Mapa final'!$P$35),"")</f>
        <v/>
      </c>
      <c r="Z50" s="25" t="str">
        <f>IF(AND('Mapa final'!$Z$36="Muy Baja",'Mapa final'!$AB$36="Moderado"),CONCATENATE("R5C",'Mapa final'!$P$36),"")</f>
        <v/>
      </c>
      <c r="AA50" s="26" t="str">
        <f>IF(AND('Mapa final'!$Z$37="Muy Baja",'Mapa final'!$AB$37="Moderado"),CONCATENATE("R5C",'Mapa final'!$P$37),"")</f>
        <v/>
      </c>
      <c r="AB50" s="9" t="str">
        <f>IF(AND('Mapa final'!$Z$32="Muy Baja",'Mapa final'!$AB$32="Mayor"),CONCATENATE("R5C",'Mapa final'!$P$32),"")</f>
        <v/>
      </c>
      <c r="AC50" s="10" t="str">
        <f>IF(AND('Mapa final'!$Z$33="Muy Baja",'Mapa final'!$AB$33="Mayor"),CONCATENATE("R5C",'Mapa final'!$P$33),"")</f>
        <v/>
      </c>
      <c r="AD50" s="10" t="str">
        <f>IF(AND('Mapa final'!$Z$34="Muy Baja",'Mapa final'!$AB$34="Mayor"),CONCATENATE("R5C",'Mapa final'!$P$34),"")</f>
        <v/>
      </c>
      <c r="AE50" s="10" t="str">
        <f>IF(AND('Mapa final'!$Z$35="Muy Baja",'Mapa final'!$AB$35="Mayor"),CONCATENATE("R5C",'Mapa final'!$P$35),"")</f>
        <v/>
      </c>
      <c r="AF50" s="10" t="str">
        <f>IF(AND('Mapa final'!$Z$36="Muy Baja",'Mapa final'!$AB$36="Mayor"),CONCATENATE("R5C",'Mapa final'!$P$36),"")</f>
        <v/>
      </c>
      <c r="AG50" s="11" t="str">
        <f>IF(AND('Mapa final'!$Z$37="Muy Baja",'Mapa final'!$AB$37="Mayor"),CONCATENATE("R5C",'Mapa final'!$P$37),"")</f>
        <v/>
      </c>
      <c r="AH50" s="12" t="str">
        <f>IF(AND('Mapa final'!$Z$32="Muy Baja",'Mapa final'!$AB$32="Catastrófico"),CONCATENATE("R5C",'Mapa final'!$P$32),"")</f>
        <v/>
      </c>
      <c r="AI50" s="13" t="str">
        <f>IF(AND('Mapa final'!$Z$33="Muy Baja",'Mapa final'!$AB$33="Catastrófico"),CONCATENATE("R5C",'Mapa final'!$P$33),"")</f>
        <v/>
      </c>
      <c r="AJ50" s="13" t="str">
        <f>IF(AND('Mapa final'!$Z$34="Muy Baja",'Mapa final'!$AB$34="Catastrófico"),CONCATENATE("R5C",'Mapa final'!$P$34),"")</f>
        <v/>
      </c>
      <c r="AK50" s="13" t="str">
        <f>IF(AND('Mapa final'!$Z$35="Muy Baja",'Mapa final'!$AB$35="Catastrófico"),CONCATENATE("R5C",'Mapa final'!$P$35),"")</f>
        <v/>
      </c>
      <c r="AL50" s="13" t="str">
        <f>IF(AND('Mapa final'!$Z$36="Muy Baja",'Mapa final'!$AB$36="Catastrófico"),CONCATENATE("R5C",'Mapa final'!$P$36),"")</f>
        <v/>
      </c>
      <c r="AM50" s="14" t="str">
        <f>IF(AND('Mapa final'!$Z$37="Muy Baja",'Mapa final'!$AB$37="Catastrófico"),CONCATENATE("R5C",'Mapa final'!$P$37),"")</f>
        <v/>
      </c>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row>
    <row r="51" spans="1:80" ht="15" customHeight="1" x14ac:dyDescent="0.25">
      <c r="A51" s="40"/>
      <c r="B51" s="264"/>
      <c r="C51" s="264"/>
      <c r="D51" s="265"/>
      <c r="E51" s="305"/>
      <c r="F51" s="306"/>
      <c r="G51" s="306"/>
      <c r="H51" s="306"/>
      <c r="I51" s="307"/>
      <c r="J51" s="33" t="str">
        <f>IF(AND('Mapa final'!$Z$38="Muy Baja",'Mapa final'!$AB$38="Leve"),CONCATENATE("R6C",'Mapa final'!$P$38),"")</f>
        <v/>
      </c>
      <c r="K51" s="34" t="str">
        <f>IF(AND('Mapa final'!$Z$39="Muy Baja",'Mapa final'!$AB$39="Leve"),CONCATENATE("R6C",'Mapa final'!$P$39),"")</f>
        <v/>
      </c>
      <c r="L51" s="34" t="str">
        <f>IF(AND('Mapa final'!$Z$40="Muy Baja",'Mapa final'!$AB$40="Leve"),CONCATENATE("R6C",'Mapa final'!$P$40),"")</f>
        <v/>
      </c>
      <c r="M51" s="34" t="str">
        <f>IF(AND('Mapa final'!$Z$41="Muy Baja",'Mapa final'!$AB$41="Leve"),CONCATENATE("R6C",'Mapa final'!$P$41),"")</f>
        <v/>
      </c>
      <c r="N51" s="34" t="str">
        <f>IF(AND('Mapa final'!$Z$42="Muy Baja",'Mapa final'!$AB$42="Leve"),CONCATENATE("R6C",'Mapa final'!$P$42),"")</f>
        <v/>
      </c>
      <c r="O51" s="35" t="str">
        <f>IF(AND('Mapa final'!$Z$43="Muy Baja",'Mapa final'!$AB$43="Leve"),CONCATENATE("R6C",'Mapa final'!$P$43),"")</f>
        <v/>
      </c>
      <c r="P51" s="33" t="str">
        <f>IF(AND('Mapa final'!$Z$38="Muy Baja",'Mapa final'!$AB$38="Menor"),CONCATENATE("R6C",'Mapa final'!$P$38),"")</f>
        <v/>
      </c>
      <c r="Q51" s="34" t="str">
        <f>IF(AND('Mapa final'!$Z$39="Muy Baja",'Mapa final'!$AB$39="Menor"),CONCATENATE("R6C",'Mapa final'!$P$39),"")</f>
        <v/>
      </c>
      <c r="R51" s="34" t="str">
        <f>IF(AND('Mapa final'!$Z$40="Muy Baja",'Mapa final'!$AB$40="Menor"),CONCATENATE("R6C",'Mapa final'!$P$40),"")</f>
        <v/>
      </c>
      <c r="S51" s="34" t="str">
        <f>IF(AND('Mapa final'!$Z$41="Muy Baja",'Mapa final'!$AB$41="Menor"),CONCATENATE("R6C",'Mapa final'!$P$41),"")</f>
        <v/>
      </c>
      <c r="T51" s="34" t="str">
        <f>IF(AND('Mapa final'!$Z$42="Muy Baja",'Mapa final'!$AB$42="Menor"),CONCATENATE("R6C",'Mapa final'!$P$42),"")</f>
        <v/>
      </c>
      <c r="U51" s="35" t="str">
        <f>IF(AND('Mapa final'!$Z$43="Muy Baja",'Mapa final'!$AB$43="Menor"),CONCATENATE("R6C",'Mapa final'!$P$43),"")</f>
        <v/>
      </c>
      <c r="V51" s="24" t="str">
        <f>IF(AND('Mapa final'!$Z$38="Muy Baja",'Mapa final'!$AB$38="Moderado"),CONCATENATE("R6C",'Mapa final'!$P$38),"")</f>
        <v/>
      </c>
      <c r="W51" s="25" t="str">
        <f>IF(AND('Mapa final'!$Z$39="Muy Baja",'Mapa final'!$AB$39="Moderado"),CONCATENATE("R6C",'Mapa final'!$P$39),"")</f>
        <v/>
      </c>
      <c r="X51" s="25" t="str">
        <f>IF(AND('Mapa final'!$Z$40="Muy Baja",'Mapa final'!$AB$40="Moderado"),CONCATENATE("R6C",'Mapa final'!$P$40),"")</f>
        <v/>
      </c>
      <c r="Y51" s="25" t="str">
        <f>IF(AND('Mapa final'!$Z$41="Muy Baja",'Mapa final'!$AB$41="Moderado"),CONCATENATE("R6C",'Mapa final'!$P$41),"")</f>
        <v/>
      </c>
      <c r="Z51" s="25" t="str">
        <f>IF(AND('Mapa final'!$Z$42="Muy Baja",'Mapa final'!$AB$42="Moderado"),CONCATENATE("R6C",'Mapa final'!$P$42),"")</f>
        <v/>
      </c>
      <c r="AA51" s="26" t="str">
        <f>IF(AND('Mapa final'!$Z$43="Muy Baja",'Mapa final'!$AB$43="Moderado"),CONCATENATE("R6C",'Mapa final'!$P$43),"")</f>
        <v/>
      </c>
      <c r="AB51" s="9" t="str">
        <f>IF(AND('Mapa final'!$Z$38="Muy Baja",'Mapa final'!$AB$38="Mayor"),CONCATENATE("R6C",'Mapa final'!$P$38),"")</f>
        <v/>
      </c>
      <c r="AC51" s="10" t="str">
        <f>IF(AND('Mapa final'!$Z$39="Muy Baja",'Mapa final'!$AB$39="Mayor"),CONCATENATE("R6C",'Mapa final'!$P$39),"")</f>
        <v/>
      </c>
      <c r="AD51" s="10" t="str">
        <f>IF(AND('Mapa final'!$Z$40="Muy Baja",'Mapa final'!$AB$40="Mayor"),CONCATENATE("R6C",'Mapa final'!$P$40),"")</f>
        <v/>
      </c>
      <c r="AE51" s="10" t="str">
        <f>IF(AND('Mapa final'!$Z$41="Muy Baja",'Mapa final'!$AB$41="Mayor"),CONCATENATE("R6C",'Mapa final'!$P$41),"")</f>
        <v/>
      </c>
      <c r="AF51" s="10" t="str">
        <f>IF(AND('Mapa final'!$Z$42="Muy Baja",'Mapa final'!$AB$42="Mayor"),CONCATENATE("R6C",'Mapa final'!$P$42),"")</f>
        <v/>
      </c>
      <c r="AG51" s="11" t="str">
        <f>IF(AND('Mapa final'!$Z$43="Muy Baja",'Mapa final'!$AB$43="Mayor"),CONCATENATE("R6C",'Mapa final'!$P$43),"")</f>
        <v/>
      </c>
      <c r="AH51" s="12" t="str">
        <f>IF(AND('Mapa final'!$Z$38="Muy Baja",'Mapa final'!$AB$38="Catastrófico"),CONCATENATE("R6C",'Mapa final'!$P$38),"")</f>
        <v/>
      </c>
      <c r="AI51" s="13" t="str">
        <f>IF(AND('Mapa final'!$Z$39="Muy Baja",'Mapa final'!$AB$39="Catastrófico"),CONCATENATE("R6C",'Mapa final'!$P$39),"")</f>
        <v/>
      </c>
      <c r="AJ51" s="13" t="str">
        <f>IF(AND('Mapa final'!$Z$40="Muy Baja",'Mapa final'!$AB$40="Catastrófico"),CONCATENATE("R6C",'Mapa final'!$P$40),"")</f>
        <v/>
      </c>
      <c r="AK51" s="13" t="str">
        <f>IF(AND('Mapa final'!$Z$41="Muy Baja",'Mapa final'!$AB$41="Catastrófico"),CONCATENATE("R6C",'Mapa final'!$P$41),"")</f>
        <v/>
      </c>
      <c r="AL51" s="13" t="str">
        <f>IF(AND('Mapa final'!$Z$42="Muy Baja",'Mapa final'!$AB$42="Catastrófico"),CONCATENATE("R6C",'Mapa final'!$P$42),"")</f>
        <v/>
      </c>
      <c r="AM51" s="14" t="str">
        <f>IF(AND('Mapa final'!$Z$43="Muy Baja",'Mapa final'!$AB$43="Catastrófico"),CONCATENATE("R6C",'Mapa final'!$P$43),"")</f>
        <v/>
      </c>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row>
    <row r="52" spans="1:80" ht="15" customHeight="1" x14ac:dyDescent="0.25">
      <c r="A52" s="40"/>
      <c r="B52" s="264"/>
      <c r="C52" s="264"/>
      <c r="D52" s="265"/>
      <c r="E52" s="305"/>
      <c r="F52" s="306"/>
      <c r="G52" s="306"/>
      <c r="H52" s="306"/>
      <c r="I52" s="307"/>
      <c r="J52" s="33" t="str">
        <f>IF(AND('Mapa final'!$Z$44="Muy Baja",'Mapa final'!$AB$44="Leve"),CONCATENATE("R7C",'Mapa final'!$P$44),"")</f>
        <v/>
      </c>
      <c r="K52" s="34" t="str">
        <f>IF(AND('Mapa final'!$Z$45="Muy Baja",'Mapa final'!$AB$45="Leve"),CONCATENATE("R7C",'Mapa final'!$P$45),"")</f>
        <v/>
      </c>
      <c r="L52" s="34" t="str">
        <f>IF(AND('Mapa final'!$Z$46="Muy Baja",'Mapa final'!$AB$46="Leve"),CONCATENATE("R7C",'Mapa final'!$P$46),"")</f>
        <v/>
      </c>
      <c r="M52" s="34" t="str">
        <f>IF(AND('Mapa final'!$Z$47="Muy Baja",'Mapa final'!$AB$47="Leve"),CONCATENATE("R7C",'Mapa final'!$P$47),"")</f>
        <v/>
      </c>
      <c r="N52" s="34" t="str">
        <f>IF(AND('Mapa final'!$Z$48="Muy Baja",'Mapa final'!$AB$48="Leve"),CONCATENATE("R7C",'Mapa final'!$P$48),"")</f>
        <v/>
      </c>
      <c r="O52" s="35" t="str">
        <f>IF(AND('Mapa final'!$Z$49="Muy Baja",'Mapa final'!$AB$49="Leve"),CONCATENATE("R7C",'Mapa final'!$P$49),"")</f>
        <v/>
      </c>
      <c r="P52" s="33" t="str">
        <f>IF(AND('Mapa final'!$Z$44="Muy Baja",'Mapa final'!$AB$44="Menor"),CONCATENATE("R7C",'Mapa final'!$P$44),"")</f>
        <v/>
      </c>
      <c r="Q52" s="34" t="str">
        <f>IF(AND('Mapa final'!$Z$45="Muy Baja",'Mapa final'!$AB$45="Menor"),CONCATENATE("R7C",'Mapa final'!$P$45),"")</f>
        <v/>
      </c>
      <c r="R52" s="34" t="str">
        <f>IF(AND('Mapa final'!$Z$46="Muy Baja",'Mapa final'!$AB$46="Menor"),CONCATENATE("R7C",'Mapa final'!$P$46),"")</f>
        <v/>
      </c>
      <c r="S52" s="34" t="str">
        <f>IF(AND('Mapa final'!$Z$47="Muy Baja",'Mapa final'!$AB$47="Menor"),CONCATENATE("R7C",'Mapa final'!$P$47),"")</f>
        <v/>
      </c>
      <c r="T52" s="34" t="str">
        <f>IF(AND('Mapa final'!$Z$48="Muy Baja",'Mapa final'!$AB$48="Menor"),CONCATENATE("R7C",'Mapa final'!$P$48),"")</f>
        <v/>
      </c>
      <c r="U52" s="35" t="str">
        <f>IF(AND('Mapa final'!$Z$49="Muy Baja",'Mapa final'!$AB$49="Menor"),CONCATENATE("R7C",'Mapa final'!$P$49),"")</f>
        <v/>
      </c>
      <c r="V52" s="24" t="str">
        <f>IF(AND('Mapa final'!$Z$44="Muy Baja",'Mapa final'!$AB$44="Moderado"),CONCATENATE("R7C",'Mapa final'!$P$44),"")</f>
        <v/>
      </c>
      <c r="W52" s="25" t="str">
        <f>IF(AND('Mapa final'!$Z$45="Muy Baja",'Mapa final'!$AB$45="Moderado"),CONCATENATE("R7C",'Mapa final'!$P$45),"")</f>
        <v/>
      </c>
      <c r="X52" s="25" t="str">
        <f>IF(AND('Mapa final'!$Z$46="Muy Baja",'Mapa final'!$AB$46="Moderado"),CONCATENATE("R7C",'Mapa final'!$P$46),"")</f>
        <v/>
      </c>
      <c r="Y52" s="25" t="str">
        <f>IF(AND('Mapa final'!$Z$47="Muy Baja",'Mapa final'!$AB$47="Moderado"),CONCATENATE("R7C",'Mapa final'!$P$47),"")</f>
        <v/>
      </c>
      <c r="Z52" s="25" t="str">
        <f>IF(AND('Mapa final'!$Z$48="Muy Baja",'Mapa final'!$AB$48="Moderado"),CONCATENATE("R7C",'Mapa final'!$P$48),"")</f>
        <v/>
      </c>
      <c r="AA52" s="26" t="str">
        <f>IF(AND('Mapa final'!$Z$49="Muy Baja",'Mapa final'!$AB$49="Moderado"),CONCATENATE("R7C",'Mapa final'!$P$49),"")</f>
        <v/>
      </c>
      <c r="AB52" s="9" t="str">
        <f>IF(AND('Mapa final'!$Z$44="Muy Baja",'Mapa final'!$AB$44="Mayor"),CONCATENATE("R7C",'Mapa final'!$P$44),"")</f>
        <v/>
      </c>
      <c r="AC52" s="10" t="str">
        <f>IF(AND('Mapa final'!$Z$45="Muy Baja",'Mapa final'!$AB$45="Mayor"),CONCATENATE("R7C",'Mapa final'!$P$45),"")</f>
        <v/>
      </c>
      <c r="AD52" s="10" t="str">
        <f>IF(AND('Mapa final'!$Z$46="Muy Baja",'Mapa final'!$AB$46="Mayor"),CONCATENATE("R7C",'Mapa final'!$P$46),"")</f>
        <v/>
      </c>
      <c r="AE52" s="10" t="str">
        <f>IF(AND('Mapa final'!$Z$47="Muy Baja",'Mapa final'!$AB$47="Mayor"),CONCATENATE("R7C",'Mapa final'!$P$47),"")</f>
        <v/>
      </c>
      <c r="AF52" s="10" t="str">
        <f>IF(AND('Mapa final'!$Z$48="Muy Baja",'Mapa final'!$AB$48="Mayor"),CONCATENATE("R7C",'Mapa final'!$P$48),"")</f>
        <v/>
      </c>
      <c r="AG52" s="11" t="str">
        <f>IF(AND('Mapa final'!$Z$49="Muy Baja",'Mapa final'!$AB$49="Mayor"),CONCATENATE("R7C",'Mapa final'!$P$49),"")</f>
        <v/>
      </c>
      <c r="AH52" s="12" t="str">
        <f>IF(AND('Mapa final'!$Z$44="Muy Baja",'Mapa final'!$AB$44="Catastrófico"),CONCATENATE("R7C",'Mapa final'!$P$44),"")</f>
        <v/>
      </c>
      <c r="AI52" s="13" t="str">
        <f>IF(AND('Mapa final'!$Z$45="Muy Baja",'Mapa final'!$AB$45="Catastrófico"),CONCATENATE("R7C",'Mapa final'!$P$45),"")</f>
        <v/>
      </c>
      <c r="AJ52" s="13" t="str">
        <f>IF(AND('Mapa final'!$Z$46="Muy Baja",'Mapa final'!$AB$46="Catastrófico"),CONCATENATE("R7C",'Mapa final'!$P$46),"")</f>
        <v/>
      </c>
      <c r="AK52" s="13" t="str">
        <f>IF(AND('Mapa final'!$Z$47="Muy Baja",'Mapa final'!$AB$47="Catastrófico"),CONCATENATE("R7C",'Mapa final'!$P$47),"")</f>
        <v/>
      </c>
      <c r="AL52" s="13" t="str">
        <f>IF(AND('Mapa final'!$Z$48="Muy Baja",'Mapa final'!$AB$48="Catastrófico"),CONCATENATE("R7C",'Mapa final'!$P$48),"")</f>
        <v/>
      </c>
      <c r="AM52" s="14" t="str">
        <f>IF(AND('Mapa final'!$Z$49="Muy Baja",'Mapa final'!$AB$49="Catastrófico"),CONCATENATE("R7C",'Mapa final'!$P$49),"")</f>
        <v/>
      </c>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row>
    <row r="53" spans="1:80" ht="15" customHeight="1" x14ac:dyDescent="0.25">
      <c r="A53" s="40"/>
      <c r="B53" s="264"/>
      <c r="C53" s="264"/>
      <c r="D53" s="265"/>
      <c r="E53" s="305"/>
      <c r="F53" s="306"/>
      <c r="G53" s="306"/>
      <c r="H53" s="306"/>
      <c r="I53" s="307"/>
      <c r="J53" s="33" t="str">
        <f>IF(AND('Mapa final'!$Z$50="Muy Baja",'Mapa final'!$AB$50="Leve"),CONCATENATE("R8C",'Mapa final'!$P$50),"")</f>
        <v/>
      </c>
      <c r="K53" s="34" t="str">
        <f>IF(AND('Mapa final'!$Z$51="Muy Baja",'Mapa final'!$AB$51="Leve"),CONCATENATE("R8C",'Mapa final'!$P$51),"")</f>
        <v/>
      </c>
      <c r="L53" s="34" t="str">
        <f>IF(AND('Mapa final'!$Z$52="Muy Baja",'Mapa final'!$AB$52="Leve"),CONCATENATE("R8C",'Mapa final'!$P$52),"")</f>
        <v/>
      </c>
      <c r="M53" s="34" t="str">
        <f>IF(AND('Mapa final'!$Z$53="Muy Baja",'Mapa final'!$AB$53="Leve"),CONCATENATE("R8C",'Mapa final'!$P$53),"")</f>
        <v/>
      </c>
      <c r="N53" s="34" t="str">
        <f>IF(AND('Mapa final'!$Z$54="Muy Baja",'Mapa final'!$AB$54="Leve"),CONCATENATE("R8C",'Mapa final'!$P$54),"")</f>
        <v/>
      </c>
      <c r="O53" s="35" t="str">
        <f>IF(AND('Mapa final'!$Z$55="Muy Baja",'Mapa final'!$AB$55="Leve"),CONCATENATE("R8C",'Mapa final'!$P$55),"")</f>
        <v/>
      </c>
      <c r="P53" s="33" t="str">
        <f>IF(AND('Mapa final'!$Z$50="Muy Baja",'Mapa final'!$AB$50="Menor"),CONCATENATE("R8C",'Mapa final'!$P$50),"")</f>
        <v/>
      </c>
      <c r="Q53" s="34" t="str">
        <f>IF(AND('Mapa final'!$Z$51="Muy Baja",'Mapa final'!$AB$51="Menor"),CONCATENATE("R8C",'Mapa final'!$P$51),"")</f>
        <v/>
      </c>
      <c r="R53" s="34" t="str">
        <f>IF(AND('Mapa final'!$Z$52="Muy Baja",'Mapa final'!$AB$52="Menor"),CONCATENATE("R8C",'Mapa final'!$P$52),"")</f>
        <v/>
      </c>
      <c r="S53" s="34" t="str">
        <f>IF(AND('Mapa final'!$Z$53="Muy Baja",'Mapa final'!$AB$53="Menor"),CONCATENATE("R8C",'Mapa final'!$P$53),"")</f>
        <v/>
      </c>
      <c r="T53" s="34" t="str">
        <f>IF(AND('Mapa final'!$Z$54="Muy Baja",'Mapa final'!$AB$54="Menor"),CONCATENATE("R8C",'Mapa final'!$P$54),"")</f>
        <v/>
      </c>
      <c r="U53" s="35" t="str">
        <f>IF(AND('Mapa final'!$Z$55="Muy Baja",'Mapa final'!$AB$55="Menor"),CONCATENATE("R8C",'Mapa final'!$P$55),"")</f>
        <v/>
      </c>
      <c r="V53" s="24" t="str">
        <f>IF(AND('Mapa final'!$Z$50="Muy Baja",'Mapa final'!$AB$50="Moderado"),CONCATENATE("R8C",'Mapa final'!$P$50),"")</f>
        <v/>
      </c>
      <c r="W53" s="25" t="str">
        <f>IF(AND('Mapa final'!$Z$51="Muy Baja",'Mapa final'!$AB$51="Moderado"),CONCATENATE("R8C",'Mapa final'!$P$51),"")</f>
        <v/>
      </c>
      <c r="X53" s="25" t="str">
        <f>IF(AND('Mapa final'!$Z$52="Muy Baja",'Mapa final'!$AB$52="Moderado"),CONCATENATE("R8C",'Mapa final'!$P$52),"")</f>
        <v/>
      </c>
      <c r="Y53" s="25" t="str">
        <f>IF(AND('Mapa final'!$Z$53="Muy Baja",'Mapa final'!$AB$53="Moderado"),CONCATENATE("R8C",'Mapa final'!$P$53),"")</f>
        <v/>
      </c>
      <c r="Z53" s="25" t="str">
        <f>IF(AND('Mapa final'!$Z$54="Muy Baja",'Mapa final'!$AB$54="Moderado"),CONCATENATE("R8C",'Mapa final'!$P$54),"")</f>
        <v/>
      </c>
      <c r="AA53" s="26" t="str">
        <f>IF(AND('Mapa final'!$Z$55="Muy Baja",'Mapa final'!$AB$55="Moderado"),CONCATENATE("R8C",'Mapa final'!$P$55),"")</f>
        <v/>
      </c>
      <c r="AB53" s="9" t="str">
        <f>IF(AND('Mapa final'!$Z$50="Muy Baja",'Mapa final'!$AB$50="Mayor"),CONCATENATE("R8C",'Mapa final'!$P$50),"")</f>
        <v/>
      </c>
      <c r="AC53" s="10" t="str">
        <f>IF(AND('Mapa final'!$Z$51="Muy Baja",'Mapa final'!$AB$51="Mayor"),CONCATENATE("R8C",'Mapa final'!$P$51),"")</f>
        <v/>
      </c>
      <c r="AD53" s="10" t="str">
        <f>IF(AND('Mapa final'!$Z$52="Muy Baja",'Mapa final'!$AB$52="Mayor"),CONCATENATE("R8C",'Mapa final'!$P$52),"")</f>
        <v/>
      </c>
      <c r="AE53" s="10" t="str">
        <f>IF(AND('Mapa final'!$Z$53="Muy Baja",'Mapa final'!$AB$53="Mayor"),CONCATENATE("R8C",'Mapa final'!$P$53),"")</f>
        <v/>
      </c>
      <c r="AF53" s="10" t="str">
        <f>IF(AND('Mapa final'!$Z$54="Muy Baja",'Mapa final'!$AB$54="Mayor"),CONCATENATE("R8C",'Mapa final'!$P$54),"")</f>
        <v/>
      </c>
      <c r="AG53" s="11" t="str">
        <f>IF(AND('Mapa final'!$Z$55="Muy Baja",'Mapa final'!$AB$55="Mayor"),CONCATENATE("R8C",'Mapa final'!$P$55),"")</f>
        <v/>
      </c>
      <c r="AH53" s="12" t="str">
        <f>IF(AND('Mapa final'!$Z$50="Muy Baja",'Mapa final'!$AB$50="Catastrófico"),CONCATENATE("R8C",'Mapa final'!$P$50),"")</f>
        <v/>
      </c>
      <c r="AI53" s="13" t="str">
        <f>IF(AND('Mapa final'!$Z$51="Muy Baja",'Mapa final'!$AB$51="Catastrófico"),CONCATENATE("R8C",'Mapa final'!$P$51),"")</f>
        <v/>
      </c>
      <c r="AJ53" s="13" t="str">
        <f>IF(AND('Mapa final'!$Z$52="Muy Baja",'Mapa final'!$AB$52="Catastrófico"),CONCATENATE("R8C",'Mapa final'!$P$52),"")</f>
        <v/>
      </c>
      <c r="AK53" s="13" t="str">
        <f>IF(AND('Mapa final'!$Z$53="Muy Baja",'Mapa final'!$AB$53="Catastrófico"),CONCATENATE("R8C",'Mapa final'!$P$53),"")</f>
        <v/>
      </c>
      <c r="AL53" s="13" t="str">
        <f>IF(AND('Mapa final'!$Z$54="Muy Baja",'Mapa final'!$AB$54="Catastrófico"),CONCATENATE("R8C",'Mapa final'!$P$54),"")</f>
        <v/>
      </c>
      <c r="AM53" s="14" t="str">
        <f>IF(AND('Mapa final'!$Z$55="Muy Baja",'Mapa final'!$AB$55="Catastrófico"),CONCATENATE("R8C",'Mapa final'!$P$55),"")</f>
        <v/>
      </c>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row>
    <row r="54" spans="1:80" ht="15" customHeight="1" x14ac:dyDescent="0.25">
      <c r="A54" s="40"/>
      <c r="B54" s="264"/>
      <c r="C54" s="264"/>
      <c r="D54" s="265"/>
      <c r="E54" s="305"/>
      <c r="F54" s="306"/>
      <c r="G54" s="306"/>
      <c r="H54" s="306"/>
      <c r="I54" s="307"/>
      <c r="J54" s="33" t="str">
        <f>IF(AND('Mapa final'!$Z$56="Muy Baja",'Mapa final'!$AB$56="Leve"),CONCATENATE("R9C",'Mapa final'!$P$56),"")</f>
        <v/>
      </c>
      <c r="K54" s="34" t="str">
        <f>IF(AND('Mapa final'!$Z$57="Muy Baja",'Mapa final'!$AB$57="Leve"),CONCATENATE("R9C",'Mapa final'!$P$57),"")</f>
        <v/>
      </c>
      <c r="L54" s="34" t="str">
        <f>IF(AND('Mapa final'!$Z$58="Muy Baja",'Mapa final'!$AB$58="Leve"),CONCATENATE("R9C",'Mapa final'!$P$58),"")</f>
        <v/>
      </c>
      <c r="M54" s="34" t="str">
        <f>IF(AND('Mapa final'!$Z$59="Muy Baja",'Mapa final'!$AB$59="Leve"),CONCATENATE("R9C",'Mapa final'!$P$59),"")</f>
        <v/>
      </c>
      <c r="N54" s="34" t="str">
        <f>IF(AND('Mapa final'!$Z$60="Muy Baja",'Mapa final'!$AB$60="Leve"),CONCATENATE("R9C",'Mapa final'!$P$60),"")</f>
        <v/>
      </c>
      <c r="O54" s="35" t="str">
        <f>IF(AND('Mapa final'!$Z$61="Muy Baja",'Mapa final'!$AB$61="Leve"),CONCATENATE("R9C",'Mapa final'!$P$61),"")</f>
        <v/>
      </c>
      <c r="P54" s="33" t="str">
        <f>IF(AND('Mapa final'!$Z$56="Muy Baja",'Mapa final'!$AB$56="Menor"),CONCATENATE("R9C",'Mapa final'!$P$56),"")</f>
        <v/>
      </c>
      <c r="Q54" s="34" t="str">
        <f>IF(AND('Mapa final'!$Z$57="Muy Baja",'Mapa final'!$AB$57="Menor"),CONCATENATE("R9C",'Mapa final'!$P$57),"")</f>
        <v/>
      </c>
      <c r="R54" s="34" t="str">
        <f>IF(AND('Mapa final'!$Z$58="Muy Baja",'Mapa final'!$AB$58="Menor"),CONCATENATE("R9C",'Mapa final'!$P$58),"")</f>
        <v/>
      </c>
      <c r="S54" s="34" t="str">
        <f>IF(AND('Mapa final'!$Z$59="Muy Baja",'Mapa final'!$AB$59="Menor"),CONCATENATE("R9C",'Mapa final'!$P$59),"")</f>
        <v/>
      </c>
      <c r="T54" s="34" t="str">
        <f>IF(AND('Mapa final'!$Z$60="Muy Baja",'Mapa final'!$AB$60="Menor"),CONCATENATE("R9C",'Mapa final'!$P$60),"")</f>
        <v/>
      </c>
      <c r="U54" s="35" t="str">
        <f>IF(AND('Mapa final'!$Z$61="Muy Baja",'Mapa final'!$AB$61="Menor"),CONCATENATE("R9C",'Mapa final'!$P$61),"")</f>
        <v/>
      </c>
      <c r="V54" s="24" t="str">
        <f>IF(AND('Mapa final'!$Z$56="Muy Baja",'Mapa final'!$AB$56="Moderado"),CONCATENATE("R9C",'Mapa final'!$P$56),"")</f>
        <v/>
      </c>
      <c r="W54" s="25" t="str">
        <f>IF(AND('Mapa final'!$Z$57="Muy Baja",'Mapa final'!$AB$57="Moderado"),CONCATENATE("R9C",'Mapa final'!$P$57),"")</f>
        <v/>
      </c>
      <c r="X54" s="25" t="str">
        <f>IF(AND('Mapa final'!$Z$58="Muy Baja",'Mapa final'!$AB$58="Moderado"),CONCATENATE("R9C",'Mapa final'!$P$58),"")</f>
        <v/>
      </c>
      <c r="Y54" s="25" t="str">
        <f>IF(AND('Mapa final'!$Z$59="Muy Baja",'Mapa final'!$AB$59="Moderado"),CONCATENATE("R9C",'Mapa final'!$P$59),"")</f>
        <v/>
      </c>
      <c r="Z54" s="25" t="str">
        <f>IF(AND('Mapa final'!$Z$60="Muy Baja",'Mapa final'!$AB$60="Moderado"),CONCATENATE("R9C",'Mapa final'!$P$60),"")</f>
        <v/>
      </c>
      <c r="AA54" s="26" t="str">
        <f>IF(AND('Mapa final'!$Z$61="Muy Baja",'Mapa final'!$AB$61="Moderado"),CONCATENATE("R9C",'Mapa final'!$P$61),"")</f>
        <v/>
      </c>
      <c r="AB54" s="9" t="str">
        <f>IF(AND('Mapa final'!$Z$56="Muy Baja",'Mapa final'!$AB$56="Mayor"),CONCATENATE("R9C",'Mapa final'!$P$56),"")</f>
        <v/>
      </c>
      <c r="AC54" s="10" t="str">
        <f>IF(AND('Mapa final'!$Z$57="Muy Baja",'Mapa final'!$AB$57="Mayor"),CONCATENATE("R9C",'Mapa final'!$P$57),"")</f>
        <v/>
      </c>
      <c r="AD54" s="10" t="str">
        <f>IF(AND('Mapa final'!$Z$58="Muy Baja",'Mapa final'!$AB$58="Mayor"),CONCATENATE("R9C",'Mapa final'!$P$58),"")</f>
        <v/>
      </c>
      <c r="AE54" s="10" t="str">
        <f>IF(AND('Mapa final'!$Z$59="Muy Baja",'Mapa final'!$AB$59="Mayor"),CONCATENATE("R9C",'Mapa final'!$P$59),"")</f>
        <v/>
      </c>
      <c r="AF54" s="10" t="str">
        <f>IF(AND('Mapa final'!$Z$60="Muy Baja",'Mapa final'!$AB$60="Mayor"),CONCATENATE("R9C",'Mapa final'!$P$60),"")</f>
        <v/>
      </c>
      <c r="AG54" s="11" t="str">
        <f>IF(AND('Mapa final'!$Z$61="Muy Baja",'Mapa final'!$AB$61="Mayor"),CONCATENATE("R9C",'Mapa final'!$P$61),"")</f>
        <v/>
      </c>
      <c r="AH54" s="12" t="str">
        <f>IF(AND('Mapa final'!$Z$56="Muy Baja",'Mapa final'!$AB$56="Catastrófico"),CONCATENATE("R9C",'Mapa final'!$P$56),"")</f>
        <v/>
      </c>
      <c r="AI54" s="13" t="str">
        <f>IF(AND('Mapa final'!$Z$57="Muy Baja",'Mapa final'!$AB$57="Catastrófico"),CONCATENATE("R9C",'Mapa final'!$P$57),"")</f>
        <v/>
      </c>
      <c r="AJ54" s="13" t="str">
        <f>IF(AND('Mapa final'!$Z$58="Muy Baja",'Mapa final'!$AB$58="Catastrófico"),CONCATENATE("R9C",'Mapa final'!$P$58),"")</f>
        <v/>
      </c>
      <c r="AK54" s="13" t="str">
        <f>IF(AND('Mapa final'!$Z$59="Muy Baja",'Mapa final'!$AB$59="Catastrófico"),CONCATENATE("R9C",'Mapa final'!$P$59),"")</f>
        <v/>
      </c>
      <c r="AL54" s="13" t="str">
        <f>IF(AND('Mapa final'!$Z$60="Muy Baja",'Mapa final'!$AB$60="Catastrófico"),CONCATENATE("R9C",'Mapa final'!$P$60),"")</f>
        <v/>
      </c>
      <c r="AM54" s="14" t="str">
        <f>IF(AND('Mapa final'!$Z$61="Muy Baja",'Mapa final'!$AB$61="Catastrófico"),CONCATENATE("R9C",'Mapa final'!$P$61),"")</f>
        <v/>
      </c>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row>
    <row r="55" spans="1:80" ht="15.75" customHeight="1" thickBot="1" x14ac:dyDescent="0.3">
      <c r="A55" s="40"/>
      <c r="B55" s="264"/>
      <c r="C55" s="264"/>
      <c r="D55" s="265"/>
      <c r="E55" s="308"/>
      <c r="F55" s="309"/>
      <c r="G55" s="309"/>
      <c r="H55" s="309"/>
      <c r="I55" s="310"/>
      <c r="J55" s="36" t="e">
        <f>IF(AND('Mapa final'!#REF!="Muy Baja",'Mapa final'!#REF!="Leve"),CONCATENATE("R10C",'Mapa final'!#REF!),"")</f>
        <v>#REF!</v>
      </c>
      <c r="K55" s="37" t="e">
        <f>IF(AND('Mapa final'!#REF!="Muy Baja",'Mapa final'!#REF!="Leve"),CONCATENATE("R10C",'Mapa final'!#REF!),"")</f>
        <v>#REF!</v>
      </c>
      <c r="L55" s="37" t="e">
        <f>IF(AND('Mapa final'!#REF!="Muy Baja",'Mapa final'!#REF!="Leve"),CONCATENATE("R10C",'Mapa final'!#REF!),"")</f>
        <v>#REF!</v>
      </c>
      <c r="M55" s="37" t="e">
        <f>IF(AND('Mapa final'!#REF!="Muy Baja",'Mapa final'!#REF!="Leve"),CONCATENATE("R10C",'Mapa final'!#REF!),"")</f>
        <v>#REF!</v>
      </c>
      <c r="N55" s="37" t="e">
        <f>IF(AND('Mapa final'!#REF!="Muy Baja",'Mapa final'!#REF!="Leve"),CONCATENATE("R10C",'Mapa final'!#REF!),"")</f>
        <v>#REF!</v>
      </c>
      <c r="O55" s="38" t="e">
        <f>IF(AND('Mapa final'!#REF!="Muy Baja",'Mapa final'!#REF!="Leve"),CONCATENATE("R10C",'Mapa final'!#REF!),"")</f>
        <v>#REF!</v>
      </c>
      <c r="P55" s="36" t="e">
        <f>IF(AND('Mapa final'!#REF!="Muy Baja",'Mapa final'!#REF!="Menor"),CONCATENATE("R10C",'Mapa final'!#REF!),"")</f>
        <v>#REF!</v>
      </c>
      <c r="Q55" s="37" t="e">
        <f>IF(AND('Mapa final'!#REF!="Muy Baja",'Mapa final'!#REF!="Menor"),CONCATENATE("R10C",'Mapa final'!#REF!),"")</f>
        <v>#REF!</v>
      </c>
      <c r="R55" s="37" t="e">
        <f>IF(AND('Mapa final'!#REF!="Muy Baja",'Mapa final'!#REF!="Menor"),CONCATENATE("R10C",'Mapa final'!#REF!),"")</f>
        <v>#REF!</v>
      </c>
      <c r="S55" s="37" t="e">
        <f>IF(AND('Mapa final'!#REF!="Muy Baja",'Mapa final'!#REF!="Menor"),CONCATENATE("R10C",'Mapa final'!#REF!),"")</f>
        <v>#REF!</v>
      </c>
      <c r="T55" s="37" t="e">
        <f>IF(AND('Mapa final'!#REF!="Muy Baja",'Mapa final'!#REF!="Menor"),CONCATENATE("R10C",'Mapa final'!#REF!),"")</f>
        <v>#REF!</v>
      </c>
      <c r="U55" s="38" t="e">
        <f>IF(AND('Mapa final'!#REF!="Muy Baja",'Mapa final'!#REF!="Menor"),CONCATENATE("R10C",'Mapa final'!#REF!),"")</f>
        <v>#REF!</v>
      </c>
      <c r="V55" s="27" t="e">
        <f>IF(AND('Mapa final'!#REF!="Muy Baja",'Mapa final'!#REF!="Moderado"),CONCATENATE("R10C",'Mapa final'!#REF!),"")</f>
        <v>#REF!</v>
      </c>
      <c r="W55" s="28" t="e">
        <f>IF(AND('Mapa final'!#REF!="Muy Baja",'Mapa final'!#REF!="Moderado"),CONCATENATE("R10C",'Mapa final'!#REF!),"")</f>
        <v>#REF!</v>
      </c>
      <c r="X55" s="28" t="e">
        <f>IF(AND('Mapa final'!#REF!="Muy Baja",'Mapa final'!#REF!="Moderado"),CONCATENATE("R10C",'Mapa final'!#REF!),"")</f>
        <v>#REF!</v>
      </c>
      <c r="Y55" s="28" t="e">
        <f>IF(AND('Mapa final'!#REF!="Muy Baja",'Mapa final'!#REF!="Moderado"),CONCATENATE("R10C",'Mapa final'!#REF!),"")</f>
        <v>#REF!</v>
      </c>
      <c r="Z55" s="28" t="e">
        <f>IF(AND('Mapa final'!#REF!="Muy Baja",'Mapa final'!#REF!="Moderado"),CONCATENATE("R10C",'Mapa final'!#REF!),"")</f>
        <v>#REF!</v>
      </c>
      <c r="AA55" s="29" t="e">
        <f>IF(AND('Mapa final'!#REF!="Muy Baja",'Mapa final'!#REF!="Moderado"),CONCATENATE("R10C",'Mapa final'!#REF!),"")</f>
        <v>#REF!</v>
      </c>
      <c r="AB55" s="15" t="e">
        <f>IF(AND('Mapa final'!#REF!="Muy Baja",'Mapa final'!#REF!="Mayor"),CONCATENATE("R10C",'Mapa final'!#REF!),"")</f>
        <v>#REF!</v>
      </c>
      <c r="AC55" s="16" t="e">
        <f>IF(AND('Mapa final'!#REF!="Muy Baja",'Mapa final'!#REF!="Mayor"),CONCATENATE("R10C",'Mapa final'!#REF!),"")</f>
        <v>#REF!</v>
      </c>
      <c r="AD55" s="16" t="e">
        <f>IF(AND('Mapa final'!#REF!="Muy Baja",'Mapa final'!#REF!="Mayor"),CONCATENATE("R10C",'Mapa final'!#REF!),"")</f>
        <v>#REF!</v>
      </c>
      <c r="AE55" s="16" t="e">
        <f>IF(AND('Mapa final'!#REF!="Muy Baja",'Mapa final'!#REF!="Mayor"),CONCATENATE("R10C",'Mapa final'!#REF!),"")</f>
        <v>#REF!</v>
      </c>
      <c r="AF55" s="16" t="e">
        <f>IF(AND('Mapa final'!#REF!="Muy Baja",'Mapa final'!#REF!="Mayor"),CONCATENATE("R10C",'Mapa final'!#REF!),"")</f>
        <v>#REF!</v>
      </c>
      <c r="AG55" s="17" t="e">
        <f>IF(AND('Mapa final'!#REF!="Muy Baja",'Mapa final'!#REF!="Mayor"),CONCATENATE("R10C",'Mapa final'!#REF!),"")</f>
        <v>#REF!</v>
      </c>
      <c r="AH55" s="18" t="e">
        <f>IF(AND('Mapa final'!#REF!="Muy Baja",'Mapa final'!#REF!="Catastrófico"),CONCATENATE("R10C",'Mapa final'!#REF!),"")</f>
        <v>#REF!</v>
      </c>
      <c r="AI55" s="19" t="e">
        <f>IF(AND('Mapa final'!#REF!="Muy Baja",'Mapa final'!#REF!="Catastrófico"),CONCATENATE("R10C",'Mapa final'!#REF!),"")</f>
        <v>#REF!</v>
      </c>
      <c r="AJ55" s="19" t="e">
        <f>IF(AND('Mapa final'!#REF!="Muy Baja",'Mapa final'!#REF!="Catastrófico"),CONCATENATE("R10C",'Mapa final'!#REF!),"")</f>
        <v>#REF!</v>
      </c>
      <c r="AK55" s="19" t="e">
        <f>IF(AND('Mapa final'!#REF!="Muy Baja",'Mapa final'!#REF!="Catastrófico"),CONCATENATE("R10C",'Mapa final'!#REF!),"")</f>
        <v>#REF!</v>
      </c>
      <c r="AL55" s="19" t="e">
        <f>IF(AND('Mapa final'!#REF!="Muy Baja",'Mapa final'!#REF!="Catastrófico"),CONCATENATE("R10C",'Mapa final'!#REF!),"")</f>
        <v>#REF!</v>
      </c>
      <c r="AM55" s="20" t="e">
        <f>IF(AND('Mapa final'!#REF!="Muy Baja",'Mapa final'!#REF!="Catastrófico"),CONCATENATE("R10C",'Mapa final'!#REF!),"")</f>
        <v>#REF!</v>
      </c>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row>
    <row r="56" spans="1:80" x14ac:dyDescent="0.25">
      <c r="A56" s="40"/>
      <c r="B56" s="40"/>
      <c r="C56" s="40"/>
      <c r="D56" s="40"/>
      <c r="E56" s="40"/>
      <c r="F56" s="40"/>
      <c r="G56" s="40"/>
      <c r="H56" s="40"/>
      <c r="I56" s="40"/>
      <c r="J56" s="302" t="s">
        <v>52</v>
      </c>
      <c r="K56" s="303"/>
      <c r="L56" s="303"/>
      <c r="M56" s="303"/>
      <c r="N56" s="303"/>
      <c r="O56" s="304"/>
      <c r="P56" s="302" t="s">
        <v>53</v>
      </c>
      <c r="Q56" s="303"/>
      <c r="R56" s="303"/>
      <c r="S56" s="303"/>
      <c r="T56" s="303"/>
      <c r="U56" s="304"/>
      <c r="V56" s="302" t="s">
        <v>54</v>
      </c>
      <c r="W56" s="303"/>
      <c r="X56" s="303"/>
      <c r="Y56" s="303"/>
      <c r="Z56" s="303"/>
      <c r="AA56" s="304"/>
      <c r="AB56" s="302" t="s">
        <v>55</v>
      </c>
      <c r="AC56" s="311"/>
      <c r="AD56" s="303"/>
      <c r="AE56" s="303"/>
      <c r="AF56" s="303"/>
      <c r="AG56" s="304"/>
      <c r="AH56" s="302" t="s">
        <v>56</v>
      </c>
      <c r="AI56" s="303"/>
      <c r="AJ56" s="303"/>
      <c r="AK56" s="303"/>
      <c r="AL56" s="303"/>
      <c r="AM56" s="304"/>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row>
    <row r="57" spans="1:80" x14ac:dyDescent="0.25">
      <c r="A57" s="40"/>
      <c r="B57" s="40"/>
      <c r="C57" s="40"/>
      <c r="D57" s="40"/>
      <c r="E57" s="40"/>
      <c r="F57" s="40"/>
      <c r="G57" s="40"/>
      <c r="H57" s="40"/>
      <c r="I57" s="40"/>
      <c r="J57" s="305"/>
      <c r="K57" s="306"/>
      <c r="L57" s="306"/>
      <c r="M57" s="306"/>
      <c r="N57" s="306"/>
      <c r="O57" s="307"/>
      <c r="P57" s="305"/>
      <c r="Q57" s="306"/>
      <c r="R57" s="306"/>
      <c r="S57" s="306"/>
      <c r="T57" s="306"/>
      <c r="U57" s="307"/>
      <c r="V57" s="305"/>
      <c r="W57" s="306"/>
      <c r="X57" s="306"/>
      <c r="Y57" s="306"/>
      <c r="Z57" s="306"/>
      <c r="AA57" s="307"/>
      <c r="AB57" s="305"/>
      <c r="AC57" s="306"/>
      <c r="AD57" s="306"/>
      <c r="AE57" s="306"/>
      <c r="AF57" s="306"/>
      <c r="AG57" s="307"/>
      <c r="AH57" s="305"/>
      <c r="AI57" s="306"/>
      <c r="AJ57" s="306"/>
      <c r="AK57" s="306"/>
      <c r="AL57" s="306"/>
      <c r="AM57" s="307"/>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row>
    <row r="58" spans="1:80" x14ac:dyDescent="0.25">
      <c r="A58" s="40"/>
      <c r="B58" s="40"/>
      <c r="C58" s="40"/>
      <c r="D58" s="40"/>
      <c r="E58" s="40"/>
      <c r="F58" s="40"/>
      <c r="G58" s="40"/>
      <c r="H58" s="40"/>
      <c r="I58" s="40"/>
      <c r="J58" s="305"/>
      <c r="K58" s="306"/>
      <c r="L58" s="306"/>
      <c r="M58" s="306"/>
      <c r="N58" s="306"/>
      <c r="O58" s="307"/>
      <c r="P58" s="305"/>
      <c r="Q58" s="306"/>
      <c r="R58" s="306"/>
      <c r="S58" s="306"/>
      <c r="T58" s="306"/>
      <c r="U58" s="307"/>
      <c r="V58" s="305"/>
      <c r="W58" s="306"/>
      <c r="X58" s="306"/>
      <c r="Y58" s="306"/>
      <c r="Z58" s="306"/>
      <c r="AA58" s="307"/>
      <c r="AB58" s="305"/>
      <c r="AC58" s="306"/>
      <c r="AD58" s="306"/>
      <c r="AE58" s="306"/>
      <c r="AF58" s="306"/>
      <c r="AG58" s="307"/>
      <c r="AH58" s="305"/>
      <c r="AI58" s="306"/>
      <c r="AJ58" s="306"/>
      <c r="AK58" s="306"/>
      <c r="AL58" s="306"/>
      <c r="AM58" s="307"/>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row>
    <row r="59" spans="1:80" x14ac:dyDescent="0.25">
      <c r="A59" s="40"/>
      <c r="B59" s="40"/>
      <c r="C59" s="40"/>
      <c r="D59" s="40"/>
      <c r="E59" s="40"/>
      <c r="F59" s="40"/>
      <c r="G59" s="40"/>
      <c r="H59" s="40"/>
      <c r="I59" s="40"/>
      <c r="J59" s="305"/>
      <c r="K59" s="306"/>
      <c r="L59" s="306"/>
      <c r="M59" s="306"/>
      <c r="N59" s="306"/>
      <c r="O59" s="307"/>
      <c r="P59" s="305"/>
      <c r="Q59" s="306"/>
      <c r="R59" s="306"/>
      <c r="S59" s="306"/>
      <c r="T59" s="306"/>
      <c r="U59" s="307"/>
      <c r="V59" s="305"/>
      <c r="W59" s="306"/>
      <c r="X59" s="306"/>
      <c r="Y59" s="306"/>
      <c r="Z59" s="306"/>
      <c r="AA59" s="307"/>
      <c r="AB59" s="305"/>
      <c r="AC59" s="306"/>
      <c r="AD59" s="306"/>
      <c r="AE59" s="306"/>
      <c r="AF59" s="306"/>
      <c r="AG59" s="307"/>
      <c r="AH59" s="305"/>
      <c r="AI59" s="306"/>
      <c r="AJ59" s="306"/>
      <c r="AK59" s="306"/>
      <c r="AL59" s="306"/>
      <c r="AM59" s="307"/>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row>
    <row r="60" spans="1:80" x14ac:dyDescent="0.25">
      <c r="A60" s="40"/>
      <c r="B60" s="40"/>
      <c r="C60" s="40"/>
      <c r="D60" s="40"/>
      <c r="E60" s="40"/>
      <c r="F60" s="40"/>
      <c r="G60" s="40"/>
      <c r="H60" s="40"/>
      <c r="I60" s="40"/>
      <c r="J60" s="305"/>
      <c r="K60" s="306"/>
      <c r="L60" s="306"/>
      <c r="M60" s="306"/>
      <c r="N60" s="306"/>
      <c r="O60" s="307"/>
      <c r="P60" s="305"/>
      <c r="Q60" s="306"/>
      <c r="R60" s="306"/>
      <c r="S60" s="306"/>
      <c r="T60" s="306"/>
      <c r="U60" s="307"/>
      <c r="V60" s="305"/>
      <c r="W60" s="306"/>
      <c r="X60" s="306"/>
      <c r="Y60" s="306"/>
      <c r="Z60" s="306"/>
      <c r="AA60" s="307"/>
      <c r="AB60" s="305"/>
      <c r="AC60" s="306"/>
      <c r="AD60" s="306"/>
      <c r="AE60" s="306"/>
      <c r="AF60" s="306"/>
      <c r="AG60" s="307"/>
      <c r="AH60" s="305"/>
      <c r="AI60" s="306"/>
      <c r="AJ60" s="306"/>
      <c r="AK60" s="306"/>
      <c r="AL60" s="306"/>
      <c r="AM60" s="307"/>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row>
    <row r="61" spans="1:80" ht="15.75" thickBot="1" x14ac:dyDescent="0.3">
      <c r="A61" s="40"/>
      <c r="B61" s="40"/>
      <c r="C61" s="40"/>
      <c r="D61" s="40"/>
      <c r="E61" s="40"/>
      <c r="F61" s="40"/>
      <c r="G61" s="40"/>
      <c r="H61" s="40"/>
      <c r="I61" s="40"/>
      <c r="J61" s="308"/>
      <c r="K61" s="309"/>
      <c r="L61" s="309"/>
      <c r="M61" s="309"/>
      <c r="N61" s="309"/>
      <c r="O61" s="310"/>
      <c r="P61" s="308"/>
      <c r="Q61" s="309"/>
      <c r="R61" s="309"/>
      <c r="S61" s="309"/>
      <c r="T61" s="309"/>
      <c r="U61" s="310"/>
      <c r="V61" s="308"/>
      <c r="W61" s="309"/>
      <c r="X61" s="309"/>
      <c r="Y61" s="309"/>
      <c r="Z61" s="309"/>
      <c r="AA61" s="310"/>
      <c r="AB61" s="308"/>
      <c r="AC61" s="309"/>
      <c r="AD61" s="309"/>
      <c r="AE61" s="309"/>
      <c r="AF61" s="309"/>
      <c r="AG61" s="310"/>
      <c r="AH61" s="308"/>
      <c r="AI61" s="309"/>
      <c r="AJ61" s="309"/>
      <c r="AK61" s="309"/>
      <c r="AL61" s="309"/>
      <c r="AM61" s="31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row>
    <row r="62" spans="1:80" x14ac:dyDescent="0.25">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row>
    <row r="63" spans="1:80" ht="15" customHeight="1" x14ac:dyDescent="0.25">
      <c r="A63" s="40"/>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0"/>
      <c r="AV63" s="40"/>
      <c r="AW63" s="40"/>
      <c r="AX63" s="40"/>
      <c r="AY63" s="40"/>
      <c r="AZ63" s="40"/>
      <c r="BA63" s="40"/>
      <c r="BB63" s="40"/>
      <c r="BC63" s="40"/>
      <c r="BD63" s="40"/>
      <c r="BE63" s="40"/>
      <c r="BF63" s="40"/>
      <c r="BG63" s="40"/>
      <c r="BH63" s="40"/>
    </row>
    <row r="64" spans="1:80" ht="15" customHeight="1" x14ac:dyDescent="0.25">
      <c r="A64" s="40"/>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0"/>
      <c r="AV64" s="40"/>
      <c r="AW64" s="40"/>
      <c r="AX64" s="40"/>
      <c r="AY64" s="40"/>
      <c r="AZ64" s="40"/>
      <c r="BA64" s="40"/>
      <c r="BB64" s="40"/>
      <c r="BC64" s="40"/>
      <c r="BD64" s="40"/>
      <c r="BE64" s="40"/>
      <c r="BF64" s="40"/>
      <c r="BG64" s="40"/>
      <c r="BH64" s="40"/>
    </row>
    <row r="65" spans="1:60" x14ac:dyDescent="0.2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row>
    <row r="66" spans="1:60" x14ac:dyDescent="0.25">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row>
    <row r="67" spans="1:60" x14ac:dyDescent="0.25">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row>
    <row r="68" spans="1:60" x14ac:dyDescent="0.25">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row>
    <row r="69" spans="1:60" x14ac:dyDescent="0.25">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row>
    <row r="70" spans="1:60" x14ac:dyDescent="0.25">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row>
    <row r="71" spans="1:60" x14ac:dyDescent="0.25">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row>
    <row r="72" spans="1:60" x14ac:dyDescent="0.25">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row>
    <row r="73" spans="1:60" x14ac:dyDescent="0.25">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row>
    <row r="74" spans="1:60" x14ac:dyDescent="0.2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row>
    <row r="75" spans="1:60" x14ac:dyDescent="0.2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row>
    <row r="76" spans="1:60" x14ac:dyDescent="0.25">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row>
    <row r="77" spans="1:60" x14ac:dyDescent="0.25">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row>
    <row r="78" spans="1:60" x14ac:dyDescent="0.25">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row>
    <row r="79" spans="1:60" x14ac:dyDescent="0.25">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row>
    <row r="80" spans="1:60" x14ac:dyDescent="0.25">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row>
    <row r="81" spans="1:60" x14ac:dyDescent="0.25">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row>
    <row r="82" spans="1:60" x14ac:dyDescent="0.25">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row>
    <row r="83" spans="1:60" x14ac:dyDescent="0.25">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row>
    <row r="84" spans="1:60" x14ac:dyDescent="0.25">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row>
    <row r="85" spans="1:60" x14ac:dyDescent="0.2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row>
    <row r="86" spans="1:60" x14ac:dyDescent="0.25">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row>
    <row r="87" spans="1:60" x14ac:dyDescent="0.25">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row>
    <row r="88" spans="1:60" x14ac:dyDescent="0.25">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row>
    <row r="89" spans="1:60" x14ac:dyDescent="0.25">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row>
    <row r="90" spans="1:60" x14ac:dyDescent="0.25">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row>
    <row r="91" spans="1:60" x14ac:dyDescent="0.25">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row>
    <row r="92" spans="1:60" x14ac:dyDescent="0.25">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row>
    <row r="93" spans="1:60" x14ac:dyDescent="0.25">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row>
    <row r="94" spans="1:60" x14ac:dyDescent="0.25">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row>
    <row r="95" spans="1:60" x14ac:dyDescent="0.2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row>
    <row r="96" spans="1:60" x14ac:dyDescent="0.25">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row>
    <row r="97" spans="1:60" x14ac:dyDescent="0.25">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row>
    <row r="98" spans="1:60" x14ac:dyDescent="0.25">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row>
    <row r="99" spans="1:60" x14ac:dyDescent="0.25">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row>
    <row r="100" spans="1:60" x14ac:dyDescent="0.25">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row>
    <row r="101" spans="1:60" x14ac:dyDescent="0.25">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row>
    <row r="102" spans="1:60" x14ac:dyDescent="0.25">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row>
    <row r="103" spans="1:60" x14ac:dyDescent="0.25">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row>
    <row r="104" spans="1:60" x14ac:dyDescent="0.25">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row>
    <row r="105" spans="1:60" x14ac:dyDescent="0.2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row>
    <row r="106" spans="1:60" x14ac:dyDescent="0.25">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row>
    <row r="107" spans="1:60" x14ac:dyDescent="0.25">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row>
    <row r="108" spans="1:60" x14ac:dyDescent="0.25">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row>
    <row r="109" spans="1:60" x14ac:dyDescent="0.25">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row>
    <row r="110" spans="1:60" x14ac:dyDescent="0.25">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row>
    <row r="111" spans="1:60" x14ac:dyDescent="0.25">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row>
    <row r="112" spans="1:60" x14ac:dyDescent="0.25">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row>
    <row r="113" spans="1:60" x14ac:dyDescent="0.25">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row>
    <row r="114" spans="1:60" x14ac:dyDescent="0.25">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row>
    <row r="115" spans="1:60" x14ac:dyDescent="0.2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row>
    <row r="116" spans="1:60" x14ac:dyDescent="0.25">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row>
    <row r="117" spans="1:60" x14ac:dyDescent="0.25">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row>
    <row r="118" spans="1:60" x14ac:dyDescent="0.25">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row>
    <row r="119" spans="1:60" x14ac:dyDescent="0.25">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row>
    <row r="120" spans="1:60" x14ac:dyDescent="0.25">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row>
    <row r="121" spans="1:60" x14ac:dyDescent="0.25">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row>
    <row r="122" spans="1:60" x14ac:dyDescent="0.25">
      <c r="A122" s="40"/>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row>
    <row r="123" spans="1:60" x14ac:dyDescent="0.25">
      <c r="A123" s="40"/>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row>
    <row r="124" spans="1:60" x14ac:dyDescent="0.25">
      <c r="A124" s="40"/>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row>
    <row r="125" spans="1:60" x14ac:dyDescent="0.25">
      <c r="A125" s="40"/>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row>
    <row r="126" spans="1:60" x14ac:dyDescent="0.25">
      <c r="A126" s="40"/>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row>
    <row r="127" spans="1:60" x14ac:dyDescent="0.25">
      <c r="A127" s="40"/>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row>
    <row r="128" spans="1:60" x14ac:dyDescent="0.25">
      <c r="A128" s="40"/>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row>
    <row r="129" spans="1:60" x14ac:dyDescent="0.25">
      <c r="A129" s="40"/>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row>
    <row r="130" spans="1:60" x14ac:dyDescent="0.25">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row>
    <row r="131" spans="1:60" x14ac:dyDescent="0.25">
      <c r="A131" s="40"/>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row>
    <row r="132" spans="1:60" x14ac:dyDescent="0.25">
      <c r="A132" s="40"/>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row>
    <row r="133" spans="1:60" x14ac:dyDescent="0.25">
      <c r="A133" s="40"/>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row>
    <row r="134" spans="1:60" x14ac:dyDescent="0.25">
      <c r="A134" s="40"/>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row>
    <row r="135" spans="1:60" x14ac:dyDescent="0.25">
      <c r="A135" s="40"/>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row>
    <row r="136" spans="1:60" x14ac:dyDescent="0.25">
      <c r="A136" s="40"/>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row>
    <row r="137" spans="1:60" x14ac:dyDescent="0.25">
      <c r="A137" s="40"/>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row>
    <row r="138" spans="1:60" x14ac:dyDescent="0.25">
      <c r="A138" s="40"/>
      <c r="B138" s="40"/>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row>
    <row r="139" spans="1:60" x14ac:dyDescent="0.25">
      <c r="A139" s="40"/>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row>
    <row r="140" spans="1:60" x14ac:dyDescent="0.25">
      <c r="A140" s="40"/>
      <c r="B140" s="40"/>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row>
    <row r="141" spans="1:60" x14ac:dyDescent="0.25">
      <c r="A141" s="40"/>
      <c r="B141" s="40"/>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row>
    <row r="142" spans="1:60" x14ac:dyDescent="0.25">
      <c r="A142" s="40"/>
      <c r="B142" s="40"/>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row>
    <row r="143" spans="1:60" x14ac:dyDescent="0.25">
      <c r="A143" s="40"/>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row>
    <row r="144" spans="1:60" x14ac:dyDescent="0.25">
      <c r="A144" s="40"/>
      <c r="B144" s="40"/>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row>
    <row r="145" spans="1:60" x14ac:dyDescent="0.25">
      <c r="A145" s="40"/>
      <c r="B145" s="40"/>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row>
    <row r="146" spans="1:60" x14ac:dyDescent="0.25">
      <c r="A146" s="40"/>
      <c r="B146" s="40"/>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row>
    <row r="147" spans="1:60" x14ac:dyDescent="0.25">
      <c r="A147" s="40"/>
      <c r="B147" s="40"/>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row>
    <row r="148" spans="1:60" x14ac:dyDescent="0.25">
      <c r="A148" s="40"/>
      <c r="B148" s="40"/>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row>
    <row r="149" spans="1:60" x14ac:dyDescent="0.25">
      <c r="A149" s="40"/>
      <c r="B149" s="40"/>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row>
    <row r="150" spans="1:60" x14ac:dyDescent="0.25">
      <c r="A150" s="40"/>
      <c r="B150" s="40"/>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row>
    <row r="151" spans="1:60" x14ac:dyDescent="0.25">
      <c r="A151" s="40"/>
      <c r="B151" s="40"/>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row>
    <row r="152" spans="1:60" x14ac:dyDescent="0.25">
      <c r="A152" s="40"/>
      <c r="B152" s="40"/>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row>
    <row r="153" spans="1:60" x14ac:dyDescent="0.25">
      <c r="A153" s="40"/>
      <c r="B153" s="40"/>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row>
    <row r="154" spans="1:60" x14ac:dyDescent="0.25">
      <c r="A154" s="40"/>
      <c r="B154" s="40"/>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row>
    <row r="155" spans="1:60" x14ac:dyDescent="0.25">
      <c r="A155" s="40"/>
      <c r="B155" s="40"/>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row>
    <row r="156" spans="1:60" x14ac:dyDescent="0.25">
      <c r="A156" s="40"/>
      <c r="B156" s="40"/>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row>
    <row r="157" spans="1:60" x14ac:dyDescent="0.25">
      <c r="A157" s="40"/>
      <c r="B157" s="40"/>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row>
    <row r="158" spans="1:60" x14ac:dyDescent="0.25">
      <c r="A158" s="40"/>
      <c r="B158" s="40"/>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row>
    <row r="159" spans="1:60" x14ac:dyDescent="0.25">
      <c r="A159" s="40"/>
      <c r="B159" s="40"/>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row>
    <row r="160" spans="1:60" x14ac:dyDescent="0.25">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row>
    <row r="161" spans="1:60" x14ac:dyDescent="0.25">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row>
    <row r="162" spans="1:60" x14ac:dyDescent="0.25">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row>
    <row r="163" spans="1:60" x14ac:dyDescent="0.25">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row>
    <row r="164" spans="1:60" x14ac:dyDescent="0.25">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row>
    <row r="165" spans="1:60" x14ac:dyDescent="0.25">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row>
    <row r="166" spans="1:60" x14ac:dyDescent="0.25">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row>
    <row r="167" spans="1:60" x14ac:dyDescent="0.25">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row>
    <row r="168" spans="1:60" x14ac:dyDescent="0.25">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row>
    <row r="169" spans="1:60" x14ac:dyDescent="0.25">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row>
    <row r="170" spans="1:60" x14ac:dyDescent="0.25">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row>
    <row r="171" spans="1:60" x14ac:dyDescent="0.25">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row>
    <row r="172" spans="1:60" x14ac:dyDescent="0.25">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row>
    <row r="173" spans="1:60" x14ac:dyDescent="0.25">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row>
    <row r="174" spans="1:60" x14ac:dyDescent="0.25">
      <c r="A174" s="40"/>
      <c r="B174" s="40"/>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row>
    <row r="175" spans="1:60" x14ac:dyDescent="0.25">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row>
    <row r="176" spans="1:60" x14ac:dyDescent="0.25">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row>
    <row r="177" spans="1:60" x14ac:dyDescent="0.25">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row>
    <row r="178" spans="1:60" x14ac:dyDescent="0.25">
      <c r="A178" s="40"/>
      <c r="B178" s="40"/>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row>
    <row r="179" spans="1:60" x14ac:dyDescent="0.25">
      <c r="A179" s="40"/>
      <c r="B179" s="40"/>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row>
    <row r="180" spans="1:60" x14ac:dyDescent="0.25">
      <c r="A180" s="40"/>
      <c r="B180" s="40"/>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row>
    <row r="181" spans="1:60" x14ac:dyDescent="0.25">
      <c r="A181" s="40"/>
      <c r="B181" s="40"/>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row>
    <row r="182" spans="1:60" x14ac:dyDescent="0.25">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row>
    <row r="183" spans="1:60" x14ac:dyDescent="0.25">
      <c r="A183" s="40"/>
      <c r="B183" s="40"/>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row>
    <row r="184" spans="1:60" x14ac:dyDescent="0.25">
      <c r="A184" s="40"/>
      <c r="B184" s="40"/>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row>
    <row r="185" spans="1:60" x14ac:dyDescent="0.25">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row>
    <row r="186" spans="1:60" x14ac:dyDescent="0.25">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row>
    <row r="187" spans="1:60" x14ac:dyDescent="0.25">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row>
    <row r="188" spans="1:60" x14ac:dyDescent="0.25">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row>
    <row r="189" spans="1:60" x14ac:dyDescent="0.25">
      <c r="A189" s="40"/>
      <c r="B189" s="40"/>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row>
    <row r="190" spans="1:60" x14ac:dyDescent="0.25">
      <c r="A190" s="40"/>
      <c r="B190" s="40"/>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row>
    <row r="191" spans="1:60" x14ac:dyDescent="0.25">
      <c r="A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row>
    <row r="192" spans="1:60" x14ac:dyDescent="0.25">
      <c r="A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row>
    <row r="193" spans="1:60" x14ac:dyDescent="0.25">
      <c r="A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row>
    <row r="194" spans="1:60" x14ac:dyDescent="0.25">
      <c r="A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row>
    <row r="195" spans="1:60" x14ac:dyDescent="0.25">
      <c r="A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row>
    <row r="196" spans="1:60" x14ac:dyDescent="0.25">
      <c r="A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row>
    <row r="197" spans="1:60" x14ac:dyDescent="0.25">
      <c r="A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row>
    <row r="198" spans="1:60" x14ac:dyDescent="0.25">
      <c r="A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row>
    <row r="199" spans="1:60" x14ac:dyDescent="0.25">
      <c r="A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row>
    <row r="200" spans="1:60" x14ac:dyDescent="0.25">
      <c r="A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row>
    <row r="201" spans="1:60" x14ac:dyDescent="0.25">
      <c r="A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row>
    <row r="202" spans="1:60" x14ac:dyDescent="0.25">
      <c r="A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row>
    <row r="203" spans="1:60" x14ac:dyDescent="0.25">
      <c r="A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row>
    <row r="204" spans="1:60" x14ac:dyDescent="0.25">
      <c r="A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row>
    <row r="205" spans="1:60" x14ac:dyDescent="0.25">
      <c r="A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row>
    <row r="206" spans="1:60" x14ac:dyDescent="0.25">
      <c r="A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row>
    <row r="207" spans="1:60" x14ac:dyDescent="0.25">
      <c r="A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row>
    <row r="208" spans="1:60" x14ac:dyDescent="0.25">
      <c r="A208" s="40"/>
      <c r="J208" s="40"/>
      <c r="K208" s="40"/>
      <c r="L208" s="40"/>
      <c r="M208" s="40"/>
      <c r="N208" s="40"/>
      <c r="O208" s="40"/>
      <c r="P208" s="40"/>
      <c r="Q208" s="40"/>
      <c r="R208" s="40"/>
      <c r="S208" s="40"/>
      <c r="T208" s="40"/>
      <c r="U208" s="40"/>
      <c r="V208" s="40"/>
      <c r="W208" s="40"/>
      <c r="X208" s="40"/>
      <c r="Y208" s="40"/>
      <c r="Z208" s="40"/>
      <c r="AA208" s="40"/>
      <c r="AB208" s="40"/>
      <c r="AC208" s="40"/>
      <c r="AD208" s="40"/>
      <c r="AE208" s="40"/>
      <c r="AF208" s="40"/>
      <c r="AG208" s="40"/>
      <c r="AH208" s="40"/>
      <c r="AI208" s="40"/>
      <c r="AJ208" s="40"/>
      <c r="AK208" s="40"/>
      <c r="AL208" s="40"/>
      <c r="AM208" s="40"/>
      <c r="AN208" s="40"/>
      <c r="AO208" s="40"/>
      <c r="AP208" s="40"/>
      <c r="AQ208" s="40"/>
      <c r="AR208" s="40"/>
      <c r="AS208" s="40"/>
      <c r="AT208" s="40"/>
      <c r="AU208" s="40"/>
      <c r="AV208" s="40"/>
      <c r="AW208" s="40"/>
      <c r="AX208" s="40"/>
      <c r="AY208" s="40"/>
      <c r="AZ208" s="40"/>
      <c r="BA208" s="40"/>
      <c r="BB208" s="40"/>
      <c r="BC208" s="40"/>
      <c r="BD208" s="40"/>
      <c r="BE208" s="40"/>
      <c r="BF208" s="40"/>
      <c r="BG208" s="40"/>
      <c r="BH208" s="40"/>
    </row>
    <row r="209" spans="1:60" x14ac:dyDescent="0.25">
      <c r="A209" s="40"/>
      <c r="J209" s="40"/>
      <c r="K209" s="40"/>
      <c r="L209" s="40"/>
      <c r="M209" s="40"/>
      <c r="N209" s="40"/>
      <c r="O209" s="40"/>
      <c r="P209" s="40"/>
      <c r="Q209" s="40"/>
      <c r="R209" s="40"/>
      <c r="S209" s="40"/>
      <c r="T209" s="40"/>
      <c r="U209" s="40"/>
      <c r="V209" s="40"/>
      <c r="W209" s="40"/>
      <c r="X209" s="40"/>
      <c r="Y209" s="40"/>
      <c r="Z209" s="40"/>
      <c r="AA209" s="40"/>
      <c r="AB209" s="40"/>
      <c r="AC209" s="40"/>
      <c r="AD209" s="40"/>
      <c r="AE209" s="40"/>
      <c r="AF209" s="40"/>
      <c r="AG209" s="40"/>
      <c r="AH209" s="40"/>
      <c r="AI209" s="40"/>
      <c r="AJ209" s="40"/>
      <c r="AK209" s="40"/>
      <c r="AL209" s="40"/>
      <c r="AM209" s="40"/>
      <c r="AN209" s="40"/>
      <c r="AO209" s="40"/>
      <c r="AP209" s="40"/>
      <c r="AQ209" s="40"/>
      <c r="AR209" s="40"/>
      <c r="AS209" s="40"/>
      <c r="AT209" s="40"/>
      <c r="AU209" s="40"/>
      <c r="AV209" s="40"/>
      <c r="AW209" s="40"/>
      <c r="AX209" s="40"/>
      <c r="AY209" s="40"/>
      <c r="AZ209" s="40"/>
      <c r="BA209" s="40"/>
      <c r="BB209" s="40"/>
      <c r="BC209" s="40"/>
      <c r="BD209" s="40"/>
      <c r="BE209" s="40"/>
      <c r="BF209" s="40"/>
      <c r="BG209" s="40"/>
      <c r="BH209" s="40"/>
    </row>
    <row r="210" spans="1:60" x14ac:dyDescent="0.25">
      <c r="A210" s="40"/>
      <c r="J210" s="40"/>
      <c r="K210" s="40"/>
      <c r="L210" s="40"/>
      <c r="M210" s="40"/>
      <c r="N210" s="40"/>
      <c r="O210" s="40"/>
      <c r="P210" s="40"/>
      <c r="Q210" s="40"/>
      <c r="R210" s="40"/>
      <c r="S210" s="40"/>
      <c r="T210" s="40"/>
      <c r="U210" s="40"/>
      <c r="V210" s="40"/>
      <c r="W210" s="40"/>
      <c r="X210" s="40"/>
      <c r="Y210" s="40"/>
      <c r="Z210" s="40"/>
      <c r="AA210" s="40"/>
      <c r="AB210" s="40"/>
      <c r="AC210" s="40"/>
      <c r="AD210" s="40"/>
      <c r="AE210" s="40"/>
      <c r="AF210" s="40"/>
      <c r="AG210" s="40"/>
      <c r="AH210" s="40"/>
      <c r="AI210" s="40"/>
      <c r="AJ210" s="40"/>
      <c r="AK210" s="40"/>
      <c r="AL210" s="40"/>
      <c r="AM210" s="40"/>
      <c r="AN210" s="40"/>
      <c r="AO210" s="40"/>
      <c r="AP210" s="40"/>
      <c r="AQ210" s="40"/>
      <c r="AR210" s="40"/>
      <c r="AS210" s="40"/>
      <c r="AT210" s="40"/>
      <c r="AU210" s="40"/>
      <c r="AV210" s="40"/>
      <c r="AW210" s="40"/>
      <c r="AX210" s="40"/>
      <c r="AY210" s="40"/>
      <c r="AZ210" s="40"/>
      <c r="BA210" s="40"/>
      <c r="BB210" s="40"/>
      <c r="BC210" s="40"/>
      <c r="BD210" s="40"/>
      <c r="BE210" s="40"/>
      <c r="BF210" s="40"/>
      <c r="BG210" s="40"/>
      <c r="BH210" s="40"/>
    </row>
    <row r="211" spans="1:60" x14ac:dyDescent="0.25">
      <c r="A211" s="40"/>
      <c r="J211" s="40"/>
      <c r="K211" s="40"/>
      <c r="L211" s="40"/>
      <c r="M211" s="40"/>
      <c r="N211" s="40"/>
      <c r="O211" s="40"/>
      <c r="P211" s="40"/>
      <c r="Q211" s="40"/>
      <c r="R211" s="40"/>
      <c r="S211" s="40"/>
      <c r="T211" s="40"/>
      <c r="U211" s="40"/>
      <c r="V211" s="40"/>
      <c r="W211" s="40"/>
      <c r="X211" s="40"/>
      <c r="Y211" s="40"/>
      <c r="Z211" s="40"/>
      <c r="AA211" s="40"/>
      <c r="AB211" s="40"/>
      <c r="AC211" s="40"/>
      <c r="AD211" s="40"/>
      <c r="AE211" s="40"/>
      <c r="AF211" s="40"/>
      <c r="AG211" s="40"/>
      <c r="AH211" s="40"/>
      <c r="AI211" s="40"/>
      <c r="AJ211" s="40"/>
      <c r="AK211" s="40"/>
      <c r="AL211" s="40"/>
      <c r="AM211" s="40"/>
      <c r="AN211" s="40"/>
      <c r="AO211" s="40"/>
      <c r="AP211" s="40"/>
      <c r="AQ211" s="40"/>
      <c r="AR211" s="40"/>
      <c r="AS211" s="40"/>
      <c r="AT211" s="40"/>
      <c r="AU211" s="40"/>
      <c r="AV211" s="40"/>
      <c r="AW211" s="40"/>
      <c r="AX211" s="40"/>
      <c r="AY211" s="40"/>
      <c r="AZ211" s="40"/>
      <c r="BA211" s="40"/>
      <c r="BB211" s="40"/>
      <c r="BC211" s="40"/>
      <c r="BD211" s="40"/>
      <c r="BE211" s="40"/>
      <c r="BF211" s="40"/>
      <c r="BG211" s="40"/>
      <c r="BH211" s="40"/>
    </row>
    <row r="212" spans="1:60" x14ac:dyDescent="0.25">
      <c r="A212" s="40"/>
      <c r="J212" s="40"/>
      <c r="K212" s="40"/>
      <c r="L212" s="40"/>
      <c r="M212" s="40"/>
      <c r="N212" s="40"/>
      <c r="O212" s="40"/>
      <c r="P212" s="40"/>
      <c r="Q212" s="40"/>
      <c r="R212" s="40"/>
      <c r="S212" s="40"/>
      <c r="T212" s="40"/>
      <c r="U212" s="40"/>
      <c r="V212" s="40"/>
      <c r="W212" s="40"/>
      <c r="X212" s="40"/>
      <c r="Y212" s="40"/>
      <c r="Z212" s="40"/>
      <c r="AA212" s="40"/>
      <c r="AB212" s="40"/>
      <c r="AC212" s="40"/>
      <c r="AD212" s="40"/>
      <c r="AE212" s="40"/>
      <c r="AF212" s="40"/>
      <c r="AG212" s="40"/>
      <c r="AH212" s="40"/>
      <c r="AI212" s="40"/>
      <c r="AJ212" s="40"/>
      <c r="AK212" s="40"/>
      <c r="AL212" s="40"/>
      <c r="AM212" s="40"/>
      <c r="AN212" s="40"/>
      <c r="AO212" s="40"/>
      <c r="AP212" s="40"/>
      <c r="AQ212" s="40"/>
      <c r="AR212" s="40"/>
      <c r="AS212" s="40"/>
      <c r="AT212" s="40"/>
      <c r="AU212" s="40"/>
      <c r="AV212" s="40"/>
      <c r="AW212" s="40"/>
      <c r="AX212" s="40"/>
      <c r="AY212" s="40"/>
      <c r="AZ212" s="40"/>
      <c r="BA212" s="40"/>
      <c r="BB212" s="40"/>
      <c r="BC212" s="40"/>
      <c r="BD212" s="40"/>
      <c r="BE212" s="40"/>
      <c r="BF212" s="40"/>
      <c r="BG212" s="40"/>
      <c r="BH212" s="40"/>
    </row>
    <row r="213" spans="1:60" x14ac:dyDescent="0.25">
      <c r="A213" s="40"/>
      <c r="J213" s="40"/>
      <c r="K213" s="40"/>
      <c r="L213" s="40"/>
      <c r="M213" s="40"/>
      <c r="N213" s="40"/>
      <c r="O213" s="40"/>
      <c r="P213" s="40"/>
      <c r="Q213" s="40"/>
      <c r="R213" s="40"/>
      <c r="S213" s="40"/>
      <c r="T213" s="40"/>
      <c r="U213" s="40"/>
      <c r="V213" s="40"/>
      <c r="W213" s="40"/>
      <c r="X213" s="40"/>
      <c r="Y213" s="40"/>
      <c r="Z213" s="40"/>
      <c r="AA213" s="40"/>
      <c r="AB213" s="40"/>
      <c r="AC213" s="40"/>
      <c r="AD213" s="40"/>
      <c r="AE213" s="40"/>
      <c r="AF213" s="40"/>
      <c r="AG213" s="40"/>
      <c r="AH213" s="40"/>
      <c r="AI213" s="40"/>
      <c r="AJ213" s="40"/>
      <c r="AK213" s="40"/>
      <c r="AL213" s="40"/>
      <c r="AM213" s="40"/>
      <c r="AN213" s="40"/>
      <c r="AO213" s="40"/>
      <c r="AP213" s="40"/>
      <c r="AQ213" s="40"/>
      <c r="AR213" s="40"/>
      <c r="AS213" s="40"/>
      <c r="AT213" s="40"/>
      <c r="AU213" s="40"/>
      <c r="AV213" s="40"/>
      <c r="AW213" s="40"/>
      <c r="AX213" s="40"/>
      <c r="AY213" s="40"/>
      <c r="AZ213" s="40"/>
      <c r="BA213" s="40"/>
      <c r="BB213" s="40"/>
      <c r="BC213" s="40"/>
      <c r="BD213" s="40"/>
      <c r="BE213" s="40"/>
      <c r="BF213" s="40"/>
      <c r="BG213" s="40"/>
      <c r="BH213" s="40"/>
    </row>
    <row r="214" spans="1:60" x14ac:dyDescent="0.25">
      <c r="A214" s="40"/>
      <c r="J214" s="40"/>
      <c r="K214" s="40"/>
      <c r="L214" s="40"/>
      <c r="M214" s="40"/>
      <c r="N214" s="40"/>
      <c r="O214" s="40"/>
      <c r="P214" s="40"/>
      <c r="Q214" s="40"/>
      <c r="R214" s="40"/>
      <c r="S214" s="40"/>
      <c r="T214" s="40"/>
      <c r="U214" s="40"/>
      <c r="V214" s="40"/>
      <c r="W214" s="40"/>
      <c r="X214" s="40"/>
      <c r="Y214" s="40"/>
      <c r="Z214" s="40"/>
      <c r="AA214" s="40"/>
      <c r="AB214" s="40"/>
      <c r="AC214" s="40"/>
      <c r="AD214" s="40"/>
      <c r="AE214" s="40"/>
      <c r="AF214" s="40"/>
      <c r="AG214" s="40"/>
      <c r="AH214" s="40"/>
      <c r="AI214" s="40"/>
      <c r="AJ214" s="40"/>
      <c r="AK214" s="40"/>
      <c r="AL214" s="40"/>
      <c r="AM214" s="40"/>
      <c r="AN214" s="40"/>
      <c r="AO214" s="40"/>
      <c r="AP214" s="40"/>
      <c r="AQ214" s="40"/>
      <c r="AR214" s="40"/>
      <c r="AS214" s="40"/>
      <c r="AT214" s="40"/>
      <c r="AU214" s="40"/>
      <c r="AV214" s="40"/>
      <c r="AW214" s="40"/>
      <c r="AX214" s="40"/>
      <c r="AY214" s="40"/>
      <c r="AZ214" s="40"/>
      <c r="BA214" s="40"/>
      <c r="BB214" s="40"/>
      <c r="BC214" s="40"/>
      <c r="BD214" s="40"/>
      <c r="BE214" s="40"/>
      <c r="BF214" s="40"/>
      <c r="BG214" s="40"/>
      <c r="BH214" s="40"/>
    </row>
    <row r="215" spans="1:60" x14ac:dyDescent="0.25">
      <c r="A215" s="40"/>
      <c r="J215" s="40"/>
      <c r="K215" s="40"/>
      <c r="L215" s="40"/>
      <c r="M215" s="40"/>
      <c r="N215" s="40"/>
      <c r="O215" s="40"/>
      <c r="P215" s="40"/>
      <c r="Q215" s="40"/>
      <c r="R215" s="40"/>
      <c r="S215" s="40"/>
      <c r="T215" s="40"/>
      <c r="U215" s="40"/>
      <c r="V215" s="40"/>
      <c r="W215" s="40"/>
      <c r="X215" s="40"/>
      <c r="Y215" s="40"/>
      <c r="Z215" s="40"/>
      <c r="AA215" s="40"/>
      <c r="AB215" s="40"/>
      <c r="AC215" s="40"/>
      <c r="AD215" s="40"/>
      <c r="AE215" s="40"/>
      <c r="AF215" s="40"/>
      <c r="AG215" s="40"/>
      <c r="AH215" s="40"/>
      <c r="AI215" s="40"/>
      <c r="AJ215" s="40"/>
      <c r="AK215" s="40"/>
      <c r="AL215" s="40"/>
      <c r="AM215" s="40"/>
      <c r="AN215" s="40"/>
      <c r="AO215" s="40"/>
      <c r="AP215" s="40"/>
      <c r="AQ215" s="40"/>
      <c r="AR215" s="40"/>
      <c r="AS215" s="40"/>
      <c r="AT215" s="40"/>
      <c r="AU215" s="40"/>
      <c r="AV215" s="40"/>
      <c r="AW215" s="40"/>
      <c r="AX215" s="40"/>
      <c r="AY215" s="40"/>
      <c r="AZ215" s="40"/>
      <c r="BA215" s="40"/>
      <c r="BB215" s="40"/>
      <c r="BC215" s="40"/>
      <c r="BD215" s="40"/>
      <c r="BE215" s="40"/>
      <c r="BF215" s="40"/>
      <c r="BG215" s="40"/>
      <c r="BH215" s="40"/>
    </row>
    <row r="216" spans="1:60" x14ac:dyDescent="0.25">
      <c r="A216" s="40"/>
      <c r="J216" s="40"/>
      <c r="K216" s="40"/>
      <c r="L216" s="40"/>
      <c r="M216" s="40"/>
      <c r="N216" s="40"/>
      <c r="O216" s="40"/>
      <c r="P216" s="40"/>
      <c r="Q216" s="40"/>
      <c r="R216" s="40"/>
      <c r="S216" s="40"/>
      <c r="T216" s="40"/>
      <c r="U216" s="40"/>
      <c r="V216" s="40"/>
      <c r="W216" s="40"/>
      <c r="X216" s="40"/>
      <c r="Y216" s="40"/>
      <c r="Z216" s="40"/>
      <c r="AA216" s="40"/>
      <c r="AB216" s="40"/>
      <c r="AC216" s="40"/>
      <c r="AD216" s="40"/>
      <c r="AE216" s="40"/>
      <c r="AF216" s="40"/>
      <c r="AG216" s="40"/>
      <c r="AH216" s="40"/>
      <c r="AI216" s="40"/>
      <c r="AJ216" s="40"/>
      <c r="AK216" s="40"/>
      <c r="AL216" s="40"/>
      <c r="AM216" s="40"/>
      <c r="AN216" s="40"/>
      <c r="AO216" s="40"/>
      <c r="AP216" s="40"/>
      <c r="AQ216" s="40"/>
      <c r="AR216" s="40"/>
      <c r="AS216" s="40"/>
      <c r="AT216" s="40"/>
      <c r="AU216" s="40"/>
      <c r="AV216" s="40"/>
      <c r="AW216" s="40"/>
      <c r="AX216" s="40"/>
      <c r="AY216" s="40"/>
      <c r="AZ216" s="40"/>
      <c r="BA216" s="40"/>
      <c r="BB216" s="40"/>
      <c r="BC216" s="40"/>
      <c r="BD216" s="40"/>
      <c r="BE216" s="40"/>
      <c r="BF216" s="40"/>
      <c r="BG216" s="40"/>
      <c r="BH216" s="40"/>
    </row>
    <row r="217" spans="1:60" x14ac:dyDescent="0.25">
      <c r="A217" s="40"/>
      <c r="J217" s="40"/>
      <c r="K217" s="40"/>
      <c r="L217" s="40"/>
      <c r="M217" s="40"/>
      <c r="N217" s="40"/>
      <c r="O217" s="40"/>
      <c r="P217" s="40"/>
      <c r="Q217" s="40"/>
      <c r="R217" s="40"/>
      <c r="S217" s="40"/>
      <c r="T217" s="40"/>
      <c r="U217" s="40"/>
      <c r="V217" s="40"/>
      <c r="W217" s="40"/>
      <c r="X217" s="40"/>
      <c r="Y217" s="40"/>
      <c r="Z217" s="40"/>
      <c r="AA217" s="40"/>
      <c r="AB217" s="40"/>
      <c r="AC217" s="40"/>
      <c r="AD217" s="40"/>
      <c r="AE217" s="40"/>
      <c r="AF217" s="40"/>
      <c r="AG217" s="40"/>
      <c r="AH217" s="40"/>
      <c r="AI217" s="40"/>
      <c r="AJ217" s="40"/>
      <c r="AK217" s="40"/>
      <c r="AL217" s="40"/>
      <c r="AM217" s="40"/>
      <c r="AN217" s="40"/>
      <c r="AO217" s="40"/>
      <c r="AP217" s="40"/>
      <c r="AQ217" s="40"/>
      <c r="AR217" s="40"/>
      <c r="AS217" s="40"/>
      <c r="AT217" s="40"/>
      <c r="AU217" s="40"/>
      <c r="AV217" s="40"/>
      <c r="AW217" s="40"/>
      <c r="AX217" s="40"/>
      <c r="AY217" s="40"/>
      <c r="AZ217" s="40"/>
      <c r="BA217" s="40"/>
      <c r="BB217" s="40"/>
      <c r="BC217" s="40"/>
      <c r="BD217" s="40"/>
      <c r="BE217" s="40"/>
      <c r="BF217" s="40"/>
      <c r="BG217" s="40"/>
      <c r="BH217" s="40"/>
    </row>
    <row r="218" spans="1:60" x14ac:dyDescent="0.25">
      <c r="A218" s="40"/>
      <c r="J218" s="40"/>
      <c r="K218" s="40"/>
      <c r="L218" s="40"/>
      <c r="M218" s="40"/>
      <c r="N218" s="40"/>
      <c r="O218" s="40"/>
      <c r="P218" s="40"/>
      <c r="Q218" s="40"/>
      <c r="R218" s="40"/>
      <c r="S218" s="40"/>
      <c r="T218" s="40"/>
      <c r="U218" s="40"/>
      <c r="V218" s="40"/>
      <c r="W218" s="40"/>
      <c r="X218" s="40"/>
      <c r="Y218" s="40"/>
      <c r="Z218" s="40"/>
      <c r="AA218" s="40"/>
      <c r="AB218" s="40"/>
      <c r="AC218" s="40"/>
      <c r="AD218" s="40"/>
      <c r="AE218" s="40"/>
      <c r="AF218" s="40"/>
      <c r="AG218" s="40"/>
      <c r="AH218" s="40"/>
      <c r="AI218" s="40"/>
      <c r="AJ218" s="40"/>
      <c r="AK218" s="40"/>
      <c r="AL218" s="40"/>
      <c r="AM218" s="40"/>
      <c r="AN218" s="40"/>
      <c r="AO218" s="40"/>
      <c r="AP218" s="40"/>
      <c r="AQ218" s="40"/>
      <c r="AR218" s="40"/>
      <c r="AS218" s="40"/>
      <c r="AT218" s="40"/>
      <c r="AU218" s="40"/>
      <c r="AV218" s="40"/>
      <c r="AW218" s="40"/>
      <c r="AX218" s="40"/>
      <c r="AY218" s="40"/>
      <c r="AZ218" s="40"/>
      <c r="BA218" s="40"/>
      <c r="BB218" s="40"/>
      <c r="BC218" s="40"/>
      <c r="BD218" s="40"/>
      <c r="BE218" s="40"/>
      <c r="BF218" s="40"/>
      <c r="BG218" s="40"/>
      <c r="BH218" s="40"/>
    </row>
    <row r="219" spans="1:60" x14ac:dyDescent="0.25">
      <c r="A219" s="40"/>
      <c r="J219" s="40"/>
      <c r="K219" s="40"/>
      <c r="L219" s="40"/>
      <c r="M219" s="40"/>
      <c r="N219" s="40"/>
      <c r="O219" s="40"/>
      <c r="P219" s="40"/>
      <c r="Q219" s="40"/>
      <c r="R219" s="40"/>
      <c r="S219" s="40"/>
      <c r="T219" s="40"/>
      <c r="U219" s="40"/>
      <c r="V219" s="40"/>
      <c r="W219" s="40"/>
      <c r="X219" s="40"/>
      <c r="Y219" s="40"/>
      <c r="Z219" s="40"/>
      <c r="AA219" s="40"/>
      <c r="AB219" s="40"/>
      <c r="AC219" s="40"/>
      <c r="AD219" s="40"/>
      <c r="AE219" s="40"/>
      <c r="AF219" s="40"/>
      <c r="AG219" s="40"/>
      <c r="AH219" s="40"/>
      <c r="AI219" s="40"/>
      <c r="AJ219" s="40"/>
      <c r="AK219" s="40"/>
      <c r="AL219" s="40"/>
      <c r="AM219" s="40"/>
      <c r="AN219" s="40"/>
      <c r="AO219" s="40"/>
      <c r="AP219" s="40"/>
      <c r="AQ219" s="40"/>
      <c r="AR219" s="40"/>
      <c r="AS219" s="40"/>
      <c r="AT219" s="40"/>
      <c r="AU219" s="40"/>
      <c r="AV219" s="40"/>
      <c r="AW219" s="40"/>
      <c r="AX219" s="40"/>
      <c r="AY219" s="40"/>
      <c r="AZ219" s="40"/>
      <c r="BA219" s="40"/>
      <c r="BB219" s="40"/>
      <c r="BC219" s="40"/>
      <c r="BD219" s="40"/>
      <c r="BE219" s="40"/>
      <c r="BF219" s="40"/>
      <c r="BG219" s="40"/>
      <c r="BH219" s="40"/>
    </row>
    <row r="220" spans="1:60" x14ac:dyDescent="0.25">
      <c r="A220" s="40"/>
      <c r="J220" s="40"/>
      <c r="K220" s="40"/>
      <c r="L220" s="40"/>
      <c r="M220" s="40"/>
      <c r="N220" s="40"/>
      <c r="O220" s="40"/>
      <c r="P220" s="40"/>
      <c r="Q220" s="40"/>
      <c r="R220" s="40"/>
      <c r="S220" s="40"/>
      <c r="T220" s="40"/>
      <c r="U220" s="40"/>
      <c r="V220" s="40"/>
      <c r="W220" s="40"/>
      <c r="X220" s="40"/>
      <c r="Y220" s="40"/>
      <c r="Z220" s="40"/>
      <c r="AA220" s="40"/>
      <c r="AB220" s="40"/>
      <c r="AC220" s="40"/>
      <c r="AD220" s="40"/>
      <c r="AE220" s="40"/>
      <c r="AF220" s="40"/>
      <c r="AG220" s="40"/>
      <c r="AH220" s="40"/>
      <c r="AI220" s="40"/>
      <c r="AJ220" s="40"/>
      <c r="AK220" s="40"/>
      <c r="AL220" s="40"/>
      <c r="AM220" s="40"/>
      <c r="AN220" s="40"/>
      <c r="AO220" s="40"/>
      <c r="AP220" s="40"/>
      <c r="AQ220" s="40"/>
      <c r="AR220" s="40"/>
      <c r="AS220" s="40"/>
      <c r="AT220" s="40"/>
      <c r="AU220" s="40"/>
      <c r="AV220" s="40"/>
      <c r="AW220" s="40"/>
      <c r="AX220" s="40"/>
      <c r="AY220" s="40"/>
      <c r="AZ220" s="40"/>
      <c r="BA220" s="40"/>
      <c r="BB220" s="40"/>
      <c r="BC220" s="40"/>
      <c r="BD220" s="40"/>
      <c r="BE220" s="40"/>
      <c r="BF220" s="40"/>
      <c r="BG220" s="40"/>
      <c r="BH220" s="40"/>
    </row>
    <row r="221" spans="1:60" x14ac:dyDescent="0.25">
      <c r="A221" s="40"/>
      <c r="J221" s="40"/>
      <c r="K221" s="40"/>
      <c r="L221" s="40"/>
      <c r="M221" s="40"/>
      <c r="N221" s="40"/>
      <c r="O221" s="40"/>
      <c r="P221" s="40"/>
      <c r="Q221" s="40"/>
      <c r="R221" s="40"/>
      <c r="S221" s="40"/>
      <c r="T221" s="40"/>
      <c r="U221" s="40"/>
      <c r="V221" s="40"/>
      <c r="W221" s="40"/>
      <c r="X221" s="40"/>
      <c r="Y221" s="40"/>
      <c r="Z221" s="40"/>
      <c r="AA221" s="40"/>
      <c r="AB221" s="40"/>
      <c r="AC221" s="40"/>
      <c r="AD221" s="40"/>
      <c r="AE221" s="40"/>
      <c r="AF221" s="40"/>
      <c r="AG221" s="40"/>
      <c r="AH221" s="40"/>
      <c r="AI221" s="40"/>
      <c r="AJ221" s="40"/>
      <c r="AK221" s="40"/>
      <c r="AL221" s="40"/>
      <c r="AM221" s="40"/>
      <c r="AN221" s="40"/>
      <c r="AO221" s="40"/>
      <c r="AP221" s="40"/>
      <c r="AQ221" s="40"/>
      <c r="AR221" s="40"/>
      <c r="AS221" s="40"/>
      <c r="AT221" s="40"/>
      <c r="AU221" s="40"/>
      <c r="AV221" s="40"/>
      <c r="AW221" s="40"/>
      <c r="AX221" s="40"/>
      <c r="AY221" s="40"/>
      <c r="AZ221" s="40"/>
      <c r="BA221" s="40"/>
      <c r="BB221" s="40"/>
      <c r="BC221" s="40"/>
      <c r="BD221" s="40"/>
      <c r="BE221" s="40"/>
      <c r="BF221" s="40"/>
      <c r="BG221" s="40"/>
      <c r="BH221" s="40"/>
    </row>
    <row r="222" spans="1:60" x14ac:dyDescent="0.25">
      <c r="A222" s="40"/>
      <c r="J222" s="40"/>
      <c r="K222" s="40"/>
      <c r="L222" s="40"/>
      <c r="M222" s="40"/>
      <c r="N222" s="40"/>
      <c r="O222" s="40"/>
      <c r="P222" s="40"/>
      <c r="Q222" s="40"/>
      <c r="R222" s="40"/>
      <c r="S222" s="40"/>
      <c r="T222" s="40"/>
      <c r="U222" s="40"/>
      <c r="V222" s="40"/>
      <c r="W222" s="40"/>
      <c r="X222" s="40"/>
      <c r="Y222" s="40"/>
      <c r="Z222" s="40"/>
      <c r="AA222" s="40"/>
      <c r="AB222" s="40"/>
      <c r="AC222" s="40"/>
      <c r="AD222" s="40"/>
      <c r="AE222" s="40"/>
      <c r="AF222" s="40"/>
      <c r="AG222" s="40"/>
      <c r="AH222" s="40"/>
      <c r="AI222" s="40"/>
      <c r="AJ222" s="40"/>
      <c r="AK222" s="40"/>
      <c r="AL222" s="40"/>
      <c r="AM222" s="40"/>
      <c r="AN222" s="40"/>
      <c r="AO222" s="40"/>
      <c r="AP222" s="40"/>
      <c r="AQ222" s="40"/>
      <c r="AR222" s="40"/>
      <c r="AS222" s="40"/>
      <c r="AT222" s="40"/>
      <c r="AU222" s="40"/>
      <c r="AV222" s="40"/>
      <c r="AW222" s="40"/>
      <c r="AX222" s="40"/>
      <c r="AY222" s="40"/>
      <c r="AZ222" s="40"/>
      <c r="BA222" s="40"/>
      <c r="BB222" s="40"/>
      <c r="BC222" s="40"/>
      <c r="BD222" s="40"/>
      <c r="BE222" s="40"/>
      <c r="BF222" s="40"/>
      <c r="BG222" s="40"/>
      <c r="BH222" s="40"/>
    </row>
    <row r="223" spans="1:60" x14ac:dyDescent="0.25">
      <c r="A223" s="40"/>
      <c r="J223" s="40"/>
      <c r="K223" s="40"/>
      <c r="L223" s="40"/>
      <c r="M223" s="40"/>
      <c r="N223" s="40"/>
      <c r="O223" s="40"/>
      <c r="P223" s="40"/>
      <c r="Q223" s="40"/>
      <c r="R223" s="40"/>
      <c r="S223" s="40"/>
      <c r="T223" s="40"/>
      <c r="U223" s="40"/>
      <c r="V223" s="40"/>
      <c r="W223" s="40"/>
      <c r="X223" s="40"/>
      <c r="Y223" s="40"/>
      <c r="Z223" s="40"/>
      <c r="AA223" s="40"/>
      <c r="AB223" s="40"/>
      <c r="AC223" s="40"/>
      <c r="AD223" s="40"/>
      <c r="AE223" s="40"/>
      <c r="AF223" s="40"/>
      <c r="AG223" s="40"/>
      <c r="AH223" s="40"/>
      <c r="AI223" s="40"/>
      <c r="AJ223" s="40"/>
      <c r="AK223" s="40"/>
      <c r="AL223" s="40"/>
      <c r="AM223" s="40"/>
      <c r="AN223" s="40"/>
      <c r="AO223" s="40"/>
      <c r="AP223" s="40"/>
      <c r="AQ223" s="40"/>
      <c r="AR223" s="40"/>
      <c r="AS223" s="40"/>
      <c r="AT223" s="40"/>
      <c r="AU223" s="40"/>
      <c r="AV223" s="40"/>
      <c r="AW223" s="40"/>
      <c r="AX223" s="40"/>
      <c r="AY223" s="40"/>
      <c r="AZ223" s="40"/>
      <c r="BA223" s="40"/>
      <c r="BB223" s="40"/>
      <c r="BC223" s="40"/>
      <c r="BD223" s="40"/>
      <c r="BE223" s="40"/>
      <c r="BF223" s="40"/>
      <c r="BG223" s="40"/>
      <c r="BH223" s="40"/>
    </row>
    <row r="224" spans="1:60" x14ac:dyDescent="0.25">
      <c r="A224" s="40"/>
      <c r="J224" s="40"/>
      <c r="K224" s="40"/>
      <c r="L224" s="40"/>
      <c r="M224" s="40"/>
      <c r="N224" s="40"/>
      <c r="O224" s="40"/>
      <c r="P224" s="40"/>
      <c r="Q224" s="40"/>
      <c r="R224" s="40"/>
      <c r="S224" s="40"/>
      <c r="T224" s="40"/>
      <c r="U224" s="40"/>
      <c r="V224" s="40"/>
      <c r="W224" s="40"/>
      <c r="X224" s="40"/>
      <c r="Y224" s="40"/>
      <c r="Z224" s="40"/>
      <c r="AA224" s="40"/>
      <c r="AB224" s="40"/>
      <c r="AC224" s="40"/>
      <c r="AD224" s="40"/>
      <c r="AE224" s="40"/>
      <c r="AF224" s="40"/>
      <c r="AG224" s="40"/>
      <c r="AH224" s="40"/>
      <c r="AI224" s="40"/>
      <c r="AJ224" s="40"/>
      <c r="AK224" s="40"/>
      <c r="AL224" s="40"/>
      <c r="AM224" s="40"/>
      <c r="AN224" s="40"/>
      <c r="AO224" s="40"/>
      <c r="AP224" s="40"/>
      <c r="AQ224" s="40"/>
      <c r="AR224" s="40"/>
      <c r="AS224" s="40"/>
      <c r="AT224" s="40"/>
      <c r="AU224" s="40"/>
      <c r="AV224" s="40"/>
      <c r="AW224" s="40"/>
      <c r="AX224" s="40"/>
      <c r="AY224" s="40"/>
      <c r="AZ224" s="40"/>
      <c r="BA224" s="40"/>
      <c r="BB224" s="40"/>
      <c r="BC224" s="40"/>
      <c r="BD224" s="40"/>
      <c r="BE224" s="40"/>
      <c r="BF224" s="40"/>
      <c r="BG224" s="40"/>
      <c r="BH224" s="40"/>
    </row>
    <row r="225" spans="1:60" x14ac:dyDescent="0.25">
      <c r="A225" s="40"/>
      <c r="J225" s="40"/>
      <c r="K225" s="40"/>
      <c r="L225" s="40"/>
      <c r="M225" s="40"/>
      <c r="N225" s="40"/>
      <c r="O225" s="40"/>
      <c r="P225" s="40"/>
      <c r="Q225" s="40"/>
      <c r="R225" s="40"/>
      <c r="S225" s="40"/>
      <c r="T225" s="40"/>
      <c r="U225" s="40"/>
      <c r="V225" s="40"/>
      <c r="W225" s="40"/>
      <c r="X225" s="40"/>
      <c r="Y225" s="40"/>
      <c r="Z225" s="40"/>
      <c r="AA225" s="40"/>
      <c r="AB225" s="40"/>
      <c r="AC225" s="40"/>
      <c r="AD225" s="40"/>
      <c r="AE225" s="40"/>
      <c r="AF225" s="40"/>
      <c r="AG225" s="40"/>
      <c r="AH225" s="40"/>
      <c r="AI225" s="40"/>
      <c r="AJ225" s="40"/>
      <c r="AK225" s="40"/>
      <c r="AL225" s="40"/>
      <c r="AM225" s="40"/>
      <c r="AN225" s="40"/>
      <c r="AO225" s="40"/>
      <c r="AP225" s="40"/>
      <c r="AQ225" s="40"/>
      <c r="AR225" s="40"/>
      <c r="AS225" s="40"/>
      <c r="AT225" s="40"/>
      <c r="AU225" s="40"/>
      <c r="AV225" s="40"/>
      <c r="AW225" s="40"/>
      <c r="AX225" s="40"/>
      <c r="AY225" s="40"/>
      <c r="AZ225" s="40"/>
      <c r="BA225" s="40"/>
      <c r="BB225" s="40"/>
      <c r="BC225" s="40"/>
      <c r="BD225" s="40"/>
      <c r="BE225" s="40"/>
      <c r="BF225" s="40"/>
      <c r="BG225" s="40"/>
      <c r="BH225" s="40"/>
    </row>
    <row r="226" spans="1:60" x14ac:dyDescent="0.25">
      <c r="A226" s="40"/>
      <c r="J226" s="40"/>
      <c r="K226" s="40"/>
      <c r="L226" s="40"/>
      <c r="M226" s="40"/>
      <c r="N226" s="40"/>
      <c r="O226" s="40"/>
      <c r="P226" s="40"/>
      <c r="Q226" s="40"/>
      <c r="R226" s="40"/>
      <c r="S226" s="40"/>
      <c r="T226" s="40"/>
      <c r="U226" s="40"/>
      <c r="V226" s="40"/>
      <c r="W226" s="40"/>
      <c r="X226" s="40"/>
      <c r="Y226" s="40"/>
      <c r="Z226" s="40"/>
      <c r="AA226" s="40"/>
      <c r="AB226" s="40"/>
      <c r="AC226" s="40"/>
      <c r="AD226" s="40"/>
      <c r="AE226" s="40"/>
      <c r="AF226" s="40"/>
      <c r="AG226" s="40"/>
      <c r="AH226" s="40"/>
      <c r="AI226" s="40"/>
      <c r="AJ226" s="40"/>
      <c r="AK226" s="40"/>
      <c r="AL226" s="40"/>
      <c r="AM226" s="40"/>
      <c r="AN226" s="40"/>
      <c r="AO226" s="40"/>
      <c r="AP226" s="40"/>
      <c r="AQ226" s="40"/>
      <c r="AR226" s="40"/>
      <c r="AS226" s="40"/>
      <c r="AT226" s="40"/>
      <c r="AU226" s="40"/>
      <c r="AV226" s="40"/>
      <c r="AW226" s="40"/>
      <c r="AX226" s="40"/>
      <c r="AY226" s="40"/>
      <c r="AZ226" s="40"/>
      <c r="BA226" s="40"/>
      <c r="BB226" s="40"/>
      <c r="BC226" s="40"/>
      <c r="BD226" s="40"/>
      <c r="BE226" s="40"/>
      <c r="BF226" s="40"/>
      <c r="BG226" s="40"/>
      <c r="BH226" s="40"/>
    </row>
    <row r="227" spans="1:60" x14ac:dyDescent="0.25">
      <c r="A227" s="40"/>
      <c r="J227" s="40"/>
      <c r="K227" s="40"/>
      <c r="L227" s="40"/>
      <c r="M227" s="40"/>
      <c r="N227" s="40"/>
      <c r="O227" s="40"/>
      <c r="P227" s="40"/>
      <c r="Q227" s="40"/>
      <c r="R227" s="40"/>
      <c r="S227" s="40"/>
      <c r="T227" s="40"/>
      <c r="U227" s="40"/>
      <c r="V227" s="40"/>
      <c r="W227" s="40"/>
      <c r="X227" s="40"/>
      <c r="Y227" s="40"/>
      <c r="Z227" s="40"/>
      <c r="AA227" s="40"/>
      <c r="AB227" s="40"/>
      <c r="AC227" s="40"/>
      <c r="AD227" s="40"/>
      <c r="AE227" s="40"/>
      <c r="AF227" s="40"/>
      <c r="AG227" s="40"/>
      <c r="AH227" s="40"/>
      <c r="AI227" s="40"/>
      <c r="AJ227" s="40"/>
      <c r="AK227" s="40"/>
      <c r="AL227" s="40"/>
      <c r="AM227" s="40"/>
      <c r="AN227" s="40"/>
      <c r="AO227" s="40"/>
      <c r="AP227" s="40"/>
      <c r="AQ227" s="40"/>
      <c r="AR227" s="40"/>
      <c r="AS227" s="40"/>
      <c r="AT227" s="40"/>
      <c r="AU227" s="40"/>
      <c r="AV227" s="40"/>
      <c r="AW227" s="40"/>
      <c r="AX227" s="40"/>
      <c r="AY227" s="40"/>
      <c r="AZ227" s="40"/>
      <c r="BA227" s="40"/>
      <c r="BB227" s="40"/>
      <c r="BC227" s="40"/>
      <c r="BD227" s="40"/>
      <c r="BE227" s="40"/>
      <c r="BF227" s="40"/>
      <c r="BG227" s="40"/>
      <c r="BH227" s="40"/>
    </row>
    <row r="228" spans="1:60" x14ac:dyDescent="0.25">
      <c r="A228" s="40"/>
      <c r="J228" s="40"/>
      <c r="K228" s="40"/>
      <c r="L228" s="40"/>
      <c r="M228" s="40"/>
      <c r="N228" s="40"/>
      <c r="O228" s="40"/>
      <c r="P228" s="40"/>
      <c r="Q228" s="40"/>
      <c r="R228" s="40"/>
      <c r="S228" s="40"/>
      <c r="T228" s="40"/>
      <c r="U228" s="40"/>
      <c r="V228" s="40"/>
      <c r="W228" s="40"/>
      <c r="X228" s="40"/>
      <c r="Y228" s="40"/>
      <c r="Z228" s="40"/>
      <c r="AA228" s="40"/>
      <c r="AB228" s="40"/>
      <c r="AC228" s="40"/>
      <c r="AD228" s="40"/>
      <c r="AE228" s="40"/>
      <c r="AF228" s="40"/>
      <c r="AG228" s="40"/>
      <c r="AH228" s="40"/>
      <c r="AI228" s="40"/>
      <c r="AJ228" s="40"/>
      <c r="AK228" s="40"/>
      <c r="AL228" s="40"/>
      <c r="AM228" s="40"/>
      <c r="AN228" s="40"/>
      <c r="AO228" s="40"/>
      <c r="AP228" s="40"/>
      <c r="AQ228" s="40"/>
      <c r="AR228" s="40"/>
      <c r="AS228" s="40"/>
      <c r="AT228" s="40"/>
      <c r="AU228" s="40"/>
      <c r="AV228" s="40"/>
      <c r="AW228" s="40"/>
      <c r="AX228" s="40"/>
      <c r="AY228" s="40"/>
      <c r="AZ228" s="40"/>
      <c r="BA228" s="40"/>
      <c r="BB228" s="40"/>
      <c r="BC228" s="40"/>
      <c r="BD228" s="40"/>
      <c r="BE228" s="40"/>
      <c r="BF228" s="40"/>
      <c r="BG228" s="40"/>
      <c r="BH228" s="40"/>
    </row>
    <row r="229" spans="1:60" x14ac:dyDescent="0.25">
      <c r="A229" s="40"/>
      <c r="J229" s="40"/>
      <c r="K229" s="40"/>
      <c r="L229" s="40"/>
      <c r="M229" s="40"/>
      <c r="N229" s="40"/>
      <c r="O229" s="40"/>
      <c r="P229" s="40"/>
      <c r="Q229" s="40"/>
      <c r="R229" s="40"/>
      <c r="S229" s="40"/>
      <c r="T229" s="40"/>
      <c r="U229" s="40"/>
      <c r="V229" s="40"/>
      <c r="W229" s="40"/>
      <c r="X229" s="40"/>
      <c r="Y229" s="40"/>
      <c r="Z229" s="40"/>
      <c r="AA229" s="40"/>
      <c r="AB229" s="40"/>
      <c r="AC229" s="40"/>
      <c r="AD229" s="40"/>
      <c r="AE229" s="40"/>
      <c r="AF229" s="40"/>
      <c r="AG229" s="40"/>
      <c r="AH229" s="40"/>
      <c r="AI229" s="40"/>
      <c r="AJ229" s="40"/>
      <c r="AK229" s="40"/>
      <c r="AL229" s="40"/>
      <c r="AM229" s="40"/>
      <c r="AN229" s="40"/>
      <c r="AO229" s="40"/>
      <c r="AP229" s="40"/>
      <c r="AQ229" s="40"/>
      <c r="AR229" s="40"/>
      <c r="AS229" s="40"/>
      <c r="AT229" s="40"/>
      <c r="AU229" s="40"/>
      <c r="AV229" s="40"/>
      <c r="AW229" s="40"/>
      <c r="AX229" s="40"/>
      <c r="AY229" s="40"/>
      <c r="AZ229" s="40"/>
      <c r="BA229" s="40"/>
      <c r="BB229" s="40"/>
      <c r="BC229" s="40"/>
      <c r="BD229" s="40"/>
      <c r="BE229" s="40"/>
      <c r="BF229" s="40"/>
      <c r="BG229" s="40"/>
      <c r="BH229" s="40"/>
    </row>
    <row r="230" spans="1:60" x14ac:dyDescent="0.25">
      <c r="A230" s="40"/>
      <c r="J230" s="40"/>
      <c r="K230" s="40"/>
      <c r="L230" s="40"/>
      <c r="M230" s="40"/>
      <c r="N230" s="40"/>
      <c r="O230" s="40"/>
      <c r="P230" s="40"/>
      <c r="Q230" s="40"/>
      <c r="R230" s="40"/>
      <c r="S230" s="40"/>
      <c r="T230" s="40"/>
      <c r="U230" s="40"/>
      <c r="V230" s="40"/>
      <c r="W230" s="40"/>
      <c r="X230" s="40"/>
      <c r="Y230" s="40"/>
      <c r="Z230" s="40"/>
      <c r="AA230" s="40"/>
      <c r="AB230" s="40"/>
      <c r="AC230" s="40"/>
      <c r="AD230" s="40"/>
      <c r="AE230" s="40"/>
      <c r="AF230" s="40"/>
      <c r="AG230" s="40"/>
      <c r="AH230" s="40"/>
      <c r="AI230" s="40"/>
      <c r="AJ230" s="40"/>
      <c r="AK230" s="40"/>
      <c r="AL230" s="40"/>
      <c r="AM230" s="40"/>
      <c r="AN230" s="40"/>
      <c r="AO230" s="40"/>
      <c r="AP230" s="40"/>
      <c r="AQ230" s="40"/>
      <c r="AR230" s="40"/>
      <c r="AS230" s="40"/>
      <c r="AT230" s="40"/>
      <c r="AU230" s="40"/>
      <c r="AV230" s="40"/>
      <c r="AW230" s="40"/>
      <c r="AX230" s="40"/>
      <c r="AY230" s="40"/>
      <c r="AZ230" s="40"/>
      <c r="BA230" s="40"/>
      <c r="BB230" s="40"/>
      <c r="BC230" s="40"/>
      <c r="BD230" s="40"/>
      <c r="BE230" s="40"/>
      <c r="BF230" s="40"/>
      <c r="BG230" s="40"/>
      <c r="BH230" s="40"/>
    </row>
    <row r="231" spans="1:60" x14ac:dyDescent="0.25">
      <c r="A231" s="40"/>
      <c r="J231" s="40"/>
      <c r="K231" s="40"/>
      <c r="L231" s="40"/>
      <c r="M231" s="40"/>
      <c r="N231" s="40"/>
      <c r="O231" s="40"/>
      <c r="P231" s="40"/>
      <c r="Q231" s="40"/>
      <c r="R231" s="40"/>
      <c r="S231" s="40"/>
      <c r="T231" s="40"/>
      <c r="U231" s="40"/>
      <c r="V231" s="40"/>
      <c r="W231" s="40"/>
      <c r="X231" s="40"/>
      <c r="Y231" s="40"/>
      <c r="Z231" s="40"/>
      <c r="AA231" s="40"/>
      <c r="AB231" s="40"/>
      <c r="AC231" s="40"/>
      <c r="AD231" s="40"/>
      <c r="AE231" s="40"/>
      <c r="AF231" s="40"/>
      <c r="AG231" s="40"/>
      <c r="AH231" s="40"/>
      <c r="AI231" s="40"/>
      <c r="AJ231" s="40"/>
      <c r="AK231" s="40"/>
      <c r="AL231" s="40"/>
      <c r="AM231" s="40"/>
      <c r="AN231" s="40"/>
      <c r="AO231" s="40"/>
      <c r="AP231" s="40"/>
      <c r="AQ231" s="40"/>
      <c r="AR231" s="40"/>
      <c r="AS231" s="40"/>
      <c r="AT231" s="40"/>
      <c r="AU231" s="40"/>
      <c r="AV231" s="40"/>
      <c r="AW231" s="40"/>
      <c r="AX231" s="40"/>
      <c r="AY231" s="40"/>
      <c r="AZ231" s="40"/>
      <c r="BA231" s="40"/>
      <c r="BB231" s="40"/>
      <c r="BC231" s="40"/>
      <c r="BD231" s="40"/>
      <c r="BE231" s="40"/>
      <c r="BF231" s="40"/>
      <c r="BG231" s="40"/>
      <c r="BH231" s="40"/>
    </row>
    <row r="232" spans="1:60" x14ac:dyDescent="0.25">
      <c r="A232" s="40"/>
      <c r="J232" s="40"/>
      <c r="K232" s="40"/>
      <c r="L232" s="40"/>
      <c r="M232" s="40"/>
      <c r="N232" s="40"/>
      <c r="O232" s="40"/>
      <c r="P232" s="40"/>
      <c r="Q232" s="40"/>
      <c r="R232" s="40"/>
      <c r="S232" s="40"/>
      <c r="T232" s="40"/>
      <c r="U232" s="40"/>
      <c r="V232" s="40"/>
      <c r="W232" s="40"/>
      <c r="X232" s="40"/>
      <c r="Y232" s="40"/>
      <c r="Z232" s="40"/>
      <c r="AA232" s="40"/>
      <c r="AB232" s="40"/>
      <c r="AC232" s="40"/>
      <c r="AD232" s="40"/>
      <c r="AE232" s="40"/>
      <c r="AF232" s="40"/>
      <c r="AG232" s="40"/>
      <c r="AH232" s="40"/>
      <c r="AI232" s="40"/>
      <c r="AJ232" s="40"/>
      <c r="AK232" s="40"/>
      <c r="AL232" s="40"/>
      <c r="AM232" s="40"/>
      <c r="AN232" s="40"/>
      <c r="AO232" s="40"/>
      <c r="AP232" s="40"/>
      <c r="AQ232" s="40"/>
      <c r="AR232" s="40"/>
      <c r="AS232" s="40"/>
      <c r="AT232" s="40"/>
      <c r="AU232" s="40"/>
      <c r="AV232" s="40"/>
      <c r="AW232" s="40"/>
      <c r="AX232" s="40"/>
      <c r="AY232" s="40"/>
      <c r="AZ232" s="40"/>
      <c r="BA232" s="40"/>
      <c r="BB232" s="40"/>
      <c r="BC232" s="40"/>
      <c r="BD232" s="40"/>
      <c r="BE232" s="40"/>
      <c r="BF232" s="40"/>
      <c r="BG232" s="40"/>
      <c r="BH232" s="40"/>
    </row>
    <row r="233" spans="1:60" x14ac:dyDescent="0.25">
      <c r="A233" s="40"/>
      <c r="J233" s="40"/>
      <c r="K233" s="40"/>
      <c r="L233" s="40"/>
      <c r="M233" s="40"/>
      <c r="N233" s="40"/>
      <c r="O233" s="40"/>
      <c r="P233" s="40"/>
      <c r="Q233" s="40"/>
      <c r="R233" s="40"/>
      <c r="S233" s="40"/>
      <c r="T233" s="40"/>
      <c r="U233" s="40"/>
      <c r="V233" s="40"/>
      <c r="W233" s="40"/>
      <c r="X233" s="40"/>
      <c r="Y233" s="40"/>
      <c r="Z233" s="40"/>
      <c r="AA233" s="40"/>
      <c r="AB233" s="40"/>
      <c r="AC233" s="40"/>
      <c r="AD233" s="40"/>
      <c r="AE233" s="40"/>
      <c r="AF233" s="40"/>
      <c r="AG233" s="40"/>
      <c r="AH233" s="40"/>
      <c r="AI233" s="40"/>
      <c r="AJ233" s="40"/>
      <c r="AK233" s="40"/>
      <c r="AL233" s="40"/>
      <c r="AM233" s="40"/>
      <c r="AN233" s="40"/>
      <c r="AO233" s="40"/>
      <c r="AP233" s="40"/>
      <c r="AQ233" s="40"/>
      <c r="AR233" s="40"/>
      <c r="AS233" s="40"/>
      <c r="AT233" s="40"/>
      <c r="AU233" s="40"/>
      <c r="AV233" s="40"/>
      <c r="AW233" s="40"/>
      <c r="AX233" s="40"/>
      <c r="AY233" s="40"/>
      <c r="AZ233" s="40"/>
      <c r="BA233" s="40"/>
      <c r="BB233" s="40"/>
      <c r="BC233" s="40"/>
      <c r="BD233" s="40"/>
      <c r="BE233" s="40"/>
      <c r="BF233" s="40"/>
      <c r="BG233" s="40"/>
      <c r="BH233" s="40"/>
    </row>
    <row r="234" spans="1:60" x14ac:dyDescent="0.25">
      <c r="A234" s="40"/>
      <c r="J234" s="40"/>
      <c r="K234" s="40"/>
      <c r="L234" s="40"/>
      <c r="M234" s="40"/>
      <c r="N234" s="40"/>
      <c r="O234" s="40"/>
      <c r="P234" s="40"/>
      <c r="Q234" s="40"/>
      <c r="R234" s="40"/>
      <c r="S234" s="40"/>
      <c r="T234" s="40"/>
      <c r="U234" s="40"/>
      <c r="V234" s="40"/>
      <c r="W234" s="40"/>
      <c r="X234" s="40"/>
      <c r="Y234" s="40"/>
      <c r="Z234" s="40"/>
      <c r="AA234" s="40"/>
      <c r="AB234" s="40"/>
      <c r="AC234" s="40"/>
      <c r="AD234" s="40"/>
      <c r="AE234" s="40"/>
      <c r="AF234" s="40"/>
      <c r="AG234" s="40"/>
      <c r="AH234" s="40"/>
      <c r="AI234" s="40"/>
      <c r="AJ234" s="40"/>
      <c r="AK234" s="40"/>
      <c r="AL234" s="40"/>
      <c r="AM234" s="40"/>
      <c r="AN234" s="40"/>
      <c r="AO234" s="40"/>
      <c r="AP234" s="40"/>
      <c r="AQ234" s="40"/>
      <c r="AR234" s="40"/>
      <c r="AS234" s="40"/>
      <c r="AT234" s="40"/>
      <c r="AU234" s="40"/>
      <c r="AV234" s="40"/>
      <c r="AW234" s="40"/>
      <c r="AX234" s="40"/>
      <c r="AY234" s="40"/>
      <c r="AZ234" s="40"/>
      <c r="BA234" s="40"/>
      <c r="BB234" s="40"/>
      <c r="BC234" s="40"/>
      <c r="BD234" s="40"/>
      <c r="BE234" s="40"/>
      <c r="BF234" s="40"/>
      <c r="BG234" s="40"/>
      <c r="BH234" s="40"/>
    </row>
    <row r="235" spans="1:60" x14ac:dyDescent="0.25">
      <c r="A235" s="40"/>
      <c r="J235" s="40"/>
      <c r="K235" s="40"/>
      <c r="L235" s="40"/>
      <c r="M235" s="40"/>
      <c r="N235" s="40"/>
      <c r="O235" s="40"/>
      <c r="P235" s="40"/>
      <c r="Q235" s="40"/>
      <c r="R235" s="40"/>
      <c r="S235" s="40"/>
      <c r="T235" s="40"/>
      <c r="U235" s="40"/>
      <c r="V235" s="40"/>
      <c r="W235" s="40"/>
      <c r="X235" s="40"/>
      <c r="Y235" s="40"/>
      <c r="Z235" s="40"/>
      <c r="AA235" s="40"/>
      <c r="AB235" s="40"/>
      <c r="AC235" s="40"/>
      <c r="AD235" s="40"/>
      <c r="AE235" s="40"/>
      <c r="AF235" s="40"/>
      <c r="AG235" s="40"/>
      <c r="AH235" s="40"/>
      <c r="AI235" s="40"/>
      <c r="AJ235" s="40"/>
      <c r="AK235" s="40"/>
      <c r="AL235" s="40"/>
      <c r="AM235" s="40"/>
      <c r="AN235" s="40"/>
      <c r="AO235" s="40"/>
      <c r="AP235" s="40"/>
      <c r="AQ235" s="40"/>
      <c r="AR235" s="40"/>
      <c r="AS235" s="40"/>
      <c r="AT235" s="40"/>
      <c r="AU235" s="40"/>
      <c r="AV235" s="40"/>
      <c r="AW235" s="40"/>
      <c r="AX235" s="40"/>
      <c r="AY235" s="40"/>
      <c r="AZ235" s="40"/>
      <c r="BA235" s="40"/>
      <c r="BB235" s="40"/>
      <c r="BC235" s="40"/>
      <c r="BD235" s="40"/>
      <c r="BE235" s="40"/>
      <c r="BF235" s="40"/>
      <c r="BG235" s="40"/>
      <c r="BH235" s="40"/>
    </row>
    <row r="236" spans="1:60" x14ac:dyDescent="0.25">
      <c r="A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0"/>
      <c r="AL236" s="40"/>
      <c r="AM236" s="40"/>
      <c r="AN236" s="40"/>
      <c r="AO236" s="40"/>
      <c r="AP236" s="40"/>
      <c r="AQ236" s="40"/>
      <c r="AR236" s="40"/>
      <c r="AS236" s="40"/>
      <c r="AT236" s="40"/>
      <c r="AU236" s="40"/>
      <c r="AV236" s="40"/>
      <c r="AW236" s="40"/>
      <c r="AX236" s="40"/>
      <c r="AY236" s="40"/>
      <c r="AZ236" s="40"/>
      <c r="BA236" s="40"/>
      <c r="BB236" s="40"/>
      <c r="BC236" s="40"/>
      <c r="BD236" s="40"/>
      <c r="BE236" s="40"/>
      <c r="BF236" s="40"/>
      <c r="BG236" s="40"/>
      <c r="BH236" s="40"/>
    </row>
    <row r="237" spans="1:60" x14ac:dyDescent="0.25">
      <c r="A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c r="AG237" s="40"/>
      <c r="AH237" s="40"/>
      <c r="AI237" s="40"/>
      <c r="AJ237" s="40"/>
      <c r="AK237" s="40"/>
      <c r="AL237" s="40"/>
      <c r="AM237" s="40"/>
      <c r="AN237" s="40"/>
      <c r="AO237" s="40"/>
      <c r="AP237" s="40"/>
      <c r="AQ237" s="40"/>
      <c r="AR237" s="40"/>
      <c r="AS237" s="40"/>
      <c r="AT237" s="40"/>
      <c r="AU237" s="40"/>
      <c r="AV237" s="40"/>
      <c r="AW237" s="40"/>
      <c r="AX237" s="40"/>
      <c r="AY237" s="40"/>
      <c r="AZ237" s="40"/>
      <c r="BA237" s="40"/>
      <c r="BB237" s="40"/>
      <c r="BC237" s="40"/>
      <c r="BD237" s="40"/>
      <c r="BE237" s="40"/>
      <c r="BF237" s="40"/>
      <c r="BG237" s="40"/>
      <c r="BH237" s="40"/>
    </row>
    <row r="238" spans="1:60" x14ac:dyDescent="0.25">
      <c r="A238" s="40"/>
      <c r="J238" s="40"/>
      <c r="K238" s="40"/>
      <c r="L238" s="40"/>
      <c r="M238" s="40"/>
      <c r="N238" s="40"/>
      <c r="O238" s="40"/>
      <c r="P238" s="40"/>
      <c r="Q238" s="40"/>
      <c r="R238" s="40"/>
      <c r="S238" s="40"/>
      <c r="T238" s="40"/>
      <c r="U238" s="40"/>
      <c r="V238" s="40"/>
      <c r="W238" s="40"/>
      <c r="X238" s="40"/>
      <c r="Y238" s="40"/>
      <c r="Z238" s="40"/>
      <c r="AA238" s="40"/>
      <c r="AB238" s="40"/>
      <c r="AC238" s="40"/>
      <c r="AD238" s="40"/>
      <c r="AE238" s="40"/>
      <c r="AF238" s="40"/>
      <c r="AG238" s="40"/>
      <c r="AH238" s="40"/>
      <c r="AI238" s="40"/>
      <c r="AJ238" s="40"/>
      <c r="AK238" s="40"/>
      <c r="AL238" s="40"/>
      <c r="AM238" s="40"/>
      <c r="AN238" s="40"/>
      <c r="AO238" s="40"/>
      <c r="AP238" s="40"/>
      <c r="AQ238" s="40"/>
      <c r="AR238" s="40"/>
      <c r="AS238" s="40"/>
      <c r="AT238" s="40"/>
      <c r="AU238" s="40"/>
      <c r="AV238" s="40"/>
      <c r="AW238" s="40"/>
      <c r="AX238" s="40"/>
      <c r="AY238" s="40"/>
      <c r="AZ238" s="40"/>
      <c r="BA238" s="40"/>
      <c r="BB238" s="40"/>
      <c r="BC238" s="40"/>
      <c r="BD238" s="40"/>
      <c r="BE238" s="40"/>
      <c r="BF238" s="40"/>
      <c r="BG238" s="40"/>
      <c r="BH238" s="40"/>
    </row>
    <row r="239" spans="1:60" x14ac:dyDescent="0.25">
      <c r="A239" s="40"/>
      <c r="J239" s="40"/>
      <c r="K239" s="40"/>
      <c r="L239" s="40"/>
      <c r="M239" s="40"/>
      <c r="N239" s="40"/>
      <c r="O239" s="40"/>
      <c r="P239" s="40"/>
      <c r="Q239" s="40"/>
      <c r="R239" s="40"/>
      <c r="S239" s="40"/>
      <c r="T239" s="40"/>
      <c r="U239" s="40"/>
      <c r="V239" s="40"/>
      <c r="W239" s="40"/>
      <c r="X239" s="40"/>
      <c r="Y239" s="40"/>
      <c r="Z239" s="40"/>
      <c r="AA239" s="40"/>
      <c r="AB239" s="40"/>
      <c r="AC239" s="40"/>
      <c r="AD239" s="40"/>
      <c r="AE239" s="40"/>
      <c r="AF239" s="40"/>
      <c r="AG239" s="40"/>
      <c r="AH239" s="40"/>
      <c r="AI239" s="40"/>
      <c r="AJ239" s="40"/>
      <c r="AK239" s="40"/>
      <c r="AL239" s="40"/>
      <c r="AM239" s="40"/>
      <c r="AN239" s="40"/>
      <c r="AO239" s="40"/>
      <c r="AP239" s="40"/>
      <c r="AQ239" s="40"/>
      <c r="AR239" s="40"/>
      <c r="AS239" s="40"/>
      <c r="AT239" s="40"/>
      <c r="AU239" s="40"/>
      <c r="AV239" s="40"/>
      <c r="AW239" s="40"/>
      <c r="AX239" s="40"/>
      <c r="AY239" s="40"/>
      <c r="AZ239" s="40"/>
      <c r="BA239" s="40"/>
      <c r="BB239" s="40"/>
      <c r="BC239" s="40"/>
      <c r="BD239" s="40"/>
      <c r="BE239" s="40"/>
      <c r="BF239" s="40"/>
      <c r="BG239" s="40"/>
      <c r="BH239" s="40"/>
    </row>
    <row r="240" spans="1:60" x14ac:dyDescent="0.25">
      <c r="A240" s="40"/>
      <c r="J240" s="40"/>
      <c r="K240" s="40"/>
      <c r="L240" s="40"/>
      <c r="M240" s="40"/>
      <c r="N240" s="40"/>
      <c r="O240" s="40"/>
      <c r="P240" s="40"/>
      <c r="Q240" s="40"/>
      <c r="R240" s="40"/>
      <c r="S240" s="40"/>
      <c r="T240" s="40"/>
      <c r="U240" s="40"/>
      <c r="V240" s="40"/>
      <c r="W240" s="40"/>
      <c r="X240" s="40"/>
      <c r="Y240" s="40"/>
      <c r="Z240" s="40"/>
      <c r="AA240" s="40"/>
      <c r="AB240" s="40"/>
      <c r="AC240" s="40"/>
      <c r="AD240" s="40"/>
      <c r="AE240" s="40"/>
      <c r="AF240" s="40"/>
      <c r="AG240" s="40"/>
      <c r="AH240" s="40"/>
      <c r="AI240" s="40"/>
      <c r="AJ240" s="40"/>
      <c r="AK240" s="40"/>
      <c r="AL240" s="40"/>
      <c r="AM240" s="40"/>
      <c r="AN240" s="40"/>
      <c r="AO240" s="40"/>
      <c r="AP240" s="40"/>
      <c r="AQ240" s="40"/>
      <c r="AR240" s="40"/>
      <c r="AS240" s="40"/>
      <c r="AT240" s="40"/>
      <c r="AU240" s="40"/>
      <c r="AV240" s="40"/>
      <c r="AW240" s="40"/>
      <c r="AX240" s="40"/>
      <c r="AY240" s="40"/>
      <c r="AZ240" s="40"/>
      <c r="BA240" s="40"/>
      <c r="BB240" s="40"/>
      <c r="BC240" s="40"/>
      <c r="BD240" s="40"/>
      <c r="BE240" s="40"/>
      <c r="BF240" s="40"/>
      <c r="BG240" s="40"/>
      <c r="BH240" s="40"/>
    </row>
    <row r="241" spans="1:60" x14ac:dyDescent="0.25">
      <c r="A241" s="40"/>
      <c r="J241" s="40"/>
      <c r="K241" s="40"/>
      <c r="L241" s="40"/>
      <c r="M241" s="40"/>
      <c r="N241" s="40"/>
      <c r="O241" s="40"/>
      <c r="P241" s="40"/>
      <c r="Q241" s="40"/>
      <c r="R241" s="40"/>
      <c r="S241" s="40"/>
      <c r="T241" s="40"/>
      <c r="U241" s="40"/>
      <c r="V241" s="40"/>
      <c r="W241" s="40"/>
      <c r="X241" s="40"/>
      <c r="Y241" s="40"/>
      <c r="Z241" s="40"/>
      <c r="AA241" s="40"/>
      <c r="AB241" s="40"/>
      <c r="AC241" s="40"/>
      <c r="AD241" s="40"/>
      <c r="AE241" s="40"/>
      <c r="AF241" s="40"/>
      <c r="AG241" s="40"/>
      <c r="AH241" s="40"/>
      <c r="AI241" s="40"/>
      <c r="AJ241" s="40"/>
      <c r="AK241" s="40"/>
      <c r="AL241" s="40"/>
      <c r="AM241" s="40"/>
      <c r="AN241" s="40"/>
      <c r="AO241" s="40"/>
      <c r="AP241" s="40"/>
      <c r="AQ241" s="40"/>
      <c r="AR241" s="40"/>
      <c r="AS241" s="40"/>
      <c r="AT241" s="40"/>
      <c r="AU241" s="40"/>
      <c r="AV241" s="40"/>
      <c r="AW241" s="40"/>
      <c r="AX241" s="40"/>
      <c r="AY241" s="40"/>
      <c r="AZ241" s="40"/>
      <c r="BA241" s="40"/>
      <c r="BB241" s="40"/>
      <c r="BC241" s="40"/>
      <c r="BD241" s="40"/>
      <c r="BE241" s="40"/>
      <c r="BF241" s="40"/>
      <c r="BG241" s="40"/>
      <c r="BH241" s="40"/>
    </row>
    <row r="242" spans="1:60" x14ac:dyDescent="0.25">
      <c r="A242" s="40"/>
      <c r="J242" s="40"/>
      <c r="K242" s="40"/>
      <c r="L242" s="40"/>
      <c r="M242" s="40"/>
      <c r="N242" s="40"/>
      <c r="O242" s="40"/>
      <c r="P242" s="40"/>
      <c r="Q242" s="40"/>
      <c r="R242" s="40"/>
      <c r="S242" s="40"/>
      <c r="T242" s="40"/>
      <c r="U242" s="40"/>
      <c r="V242" s="40"/>
      <c r="W242" s="40"/>
      <c r="X242" s="40"/>
      <c r="Y242" s="40"/>
      <c r="Z242" s="40"/>
      <c r="AA242" s="40"/>
      <c r="AB242" s="40"/>
      <c r="AC242" s="40"/>
      <c r="AD242" s="40"/>
      <c r="AE242" s="40"/>
      <c r="AF242" s="40"/>
      <c r="AG242" s="40"/>
      <c r="AH242" s="40"/>
      <c r="AI242" s="40"/>
      <c r="AJ242" s="40"/>
      <c r="AK242" s="40"/>
      <c r="AL242" s="40"/>
      <c r="AM242" s="40"/>
      <c r="AN242" s="40"/>
      <c r="AO242" s="40"/>
      <c r="AP242" s="40"/>
      <c r="AQ242" s="40"/>
      <c r="AR242" s="40"/>
      <c r="AS242" s="40"/>
      <c r="AT242" s="40"/>
      <c r="AU242" s="40"/>
      <c r="AV242" s="40"/>
      <c r="AW242" s="40"/>
      <c r="AX242" s="40"/>
      <c r="AY242" s="40"/>
      <c r="AZ242" s="40"/>
      <c r="BA242" s="40"/>
      <c r="BB242" s="40"/>
      <c r="BC242" s="40"/>
      <c r="BD242" s="40"/>
      <c r="BE242" s="40"/>
      <c r="BF242" s="40"/>
      <c r="BG242" s="40"/>
      <c r="BH242" s="40"/>
    </row>
    <row r="243" spans="1:60" x14ac:dyDescent="0.25">
      <c r="A243" s="40"/>
      <c r="J243" s="40"/>
      <c r="K243" s="40"/>
      <c r="L243" s="40"/>
      <c r="M243" s="40"/>
      <c r="N243" s="40"/>
      <c r="O243" s="40"/>
      <c r="P243" s="40"/>
      <c r="Q243" s="40"/>
      <c r="R243" s="40"/>
      <c r="S243" s="40"/>
      <c r="T243" s="40"/>
      <c r="U243" s="40"/>
      <c r="V243" s="40"/>
      <c r="W243" s="40"/>
      <c r="X243" s="40"/>
      <c r="Y243" s="40"/>
      <c r="Z243" s="40"/>
      <c r="AA243" s="40"/>
      <c r="AB243" s="40"/>
      <c r="AC243" s="40"/>
      <c r="AD243" s="40"/>
      <c r="AE243" s="40"/>
      <c r="AF243" s="40"/>
      <c r="AG243" s="40"/>
      <c r="AH243" s="40"/>
      <c r="AI243" s="40"/>
      <c r="AJ243" s="40"/>
      <c r="AK243" s="40"/>
      <c r="AL243" s="40"/>
      <c r="AM243" s="40"/>
      <c r="AN243" s="40"/>
      <c r="AO243" s="40"/>
      <c r="AP243" s="40"/>
      <c r="AQ243" s="40"/>
      <c r="AR243" s="40"/>
      <c r="AS243" s="40"/>
      <c r="AT243" s="40"/>
      <c r="AU243" s="40"/>
      <c r="AV243" s="40"/>
      <c r="AW243" s="40"/>
      <c r="AX243" s="40"/>
      <c r="AY243" s="40"/>
      <c r="AZ243" s="40"/>
      <c r="BA243" s="40"/>
      <c r="BB243" s="40"/>
      <c r="BC243" s="40"/>
      <c r="BD243" s="40"/>
      <c r="BE243" s="40"/>
      <c r="BF243" s="40"/>
      <c r="BG243" s="40"/>
      <c r="BH243" s="40"/>
    </row>
    <row r="244" spans="1:60" x14ac:dyDescent="0.25">
      <c r="A244" s="40"/>
      <c r="J244" s="40"/>
      <c r="K244" s="40"/>
      <c r="L244" s="40"/>
      <c r="M244" s="40"/>
      <c r="N244" s="40"/>
      <c r="O244" s="40"/>
      <c r="P244" s="40"/>
      <c r="Q244" s="40"/>
      <c r="R244" s="40"/>
      <c r="S244" s="40"/>
      <c r="T244" s="40"/>
      <c r="U244" s="40"/>
      <c r="V244" s="40"/>
      <c r="W244" s="40"/>
      <c r="X244" s="40"/>
      <c r="Y244" s="40"/>
      <c r="Z244" s="40"/>
      <c r="AA244" s="40"/>
      <c r="AB244" s="40"/>
      <c r="AC244" s="40"/>
      <c r="AD244" s="40"/>
      <c r="AE244" s="40"/>
      <c r="AF244" s="40"/>
      <c r="AG244" s="40"/>
      <c r="AH244" s="40"/>
      <c r="AI244" s="40"/>
      <c r="AJ244" s="40"/>
      <c r="AK244" s="40"/>
      <c r="AL244" s="40"/>
      <c r="AM244" s="40"/>
      <c r="AN244" s="40"/>
      <c r="AO244" s="40"/>
      <c r="AP244" s="40"/>
      <c r="AQ244" s="40"/>
      <c r="AR244" s="40"/>
      <c r="AS244" s="40"/>
      <c r="AT244" s="40"/>
      <c r="AU244" s="40"/>
      <c r="AV244" s="40"/>
      <c r="AW244" s="40"/>
      <c r="AX244" s="40"/>
      <c r="AY244" s="40"/>
      <c r="AZ244" s="40"/>
      <c r="BA244" s="40"/>
      <c r="BB244" s="40"/>
      <c r="BC244" s="40"/>
      <c r="BD244" s="40"/>
      <c r="BE244" s="40"/>
      <c r="BF244" s="40"/>
      <c r="BG244" s="40"/>
      <c r="BH244" s="40"/>
    </row>
    <row r="245" spans="1:60" x14ac:dyDescent="0.25">
      <c r="A245" s="40"/>
    </row>
    <row r="246" spans="1:60" x14ac:dyDescent="0.25">
      <c r="A246" s="40"/>
    </row>
    <row r="247" spans="1:60" x14ac:dyDescent="0.25">
      <c r="A247" s="40"/>
    </row>
    <row r="248" spans="1:60" x14ac:dyDescent="0.25">
      <c r="A248" s="40"/>
    </row>
  </sheetData>
  <sheetProtection algorithmName="SHA-512" hashValue="pk41qPkreGaIienBHjYN6qHrG0CgO529+BqkFfOkTGgU8ieLIk2ly7oHCkTe6nIJwtUs4b/6dT5t6eEiLeXG7Q==" saltValue="1Vg2zxH2JXOw6ZLmo/E9SA==" spinCount="100000" sheet="1" objects="1" scenarios="1"/>
  <mergeCells count="17">
    <mergeCell ref="AO16:AT25"/>
    <mergeCell ref="E16:I25"/>
    <mergeCell ref="AO6:AT15"/>
    <mergeCell ref="B2:I4"/>
    <mergeCell ref="J2:AM4"/>
    <mergeCell ref="B6:D55"/>
    <mergeCell ref="E6:I15"/>
    <mergeCell ref="E46:I55"/>
    <mergeCell ref="AO36:AT45"/>
    <mergeCell ref="E36:I45"/>
    <mergeCell ref="AO26:AT35"/>
    <mergeCell ref="E26:I35"/>
    <mergeCell ref="J56:O61"/>
    <mergeCell ref="P56:U61"/>
    <mergeCell ref="V56:AA61"/>
    <mergeCell ref="AB56:AG61"/>
    <mergeCell ref="AH56:AM6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K56"/>
  <sheetViews>
    <sheetView showGridLines="0" topLeftCell="B3" zoomScale="60" zoomScaleNormal="60" workbookViewId="0">
      <selection activeCell="B3" sqref="B3"/>
    </sheetView>
  </sheetViews>
  <sheetFormatPr baseColWidth="10" defaultColWidth="11.42578125" defaultRowHeight="14.25" x14ac:dyDescent="0.2"/>
  <cols>
    <col min="1" max="1" width="11.42578125" style="44"/>
    <col min="2" max="2" width="37.7109375" style="44" customWidth="1"/>
    <col min="3" max="3" width="142" style="44" customWidth="1"/>
    <col min="4" max="4" width="34.140625" style="44" customWidth="1"/>
    <col min="5" max="16384" width="11.42578125" style="44"/>
  </cols>
  <sheetData>
    <row r="2" spans="1:37" ht="33.75" x14ac:dyDescent="0.2">
      <c r="A2" s="43"/>
      <c r="B2" s="351" t="s">
        <v>58</v>
      </c>
      <c r="C2" s="351"/>
      <c r="D2" s="351"/>
      <c r="E2" s="43"/>
      <c r="F2" s="43"/>
      <c r="G2" s="43"/>
      <c r="H2" s="43"/>
      <c r="I2" s="43"/>
      <c r="J2" s="43"/>
      <c r="K2" s="43"/>
      <c r="L2" s="43"/>
      <c r="M2" s="43"/>
      <c r="N2" s="43"/>
      <c r="O2" s="43"/>
      <c r="P2" s="43"/>
      <c r="Q2" s="43"/>
      <c r="R2" s="43"/>
      <c r="S2" s="43"/>
      <c r="T2" s="43"/>
      <c r="U2" s="43"/>
      <c r="V2" s="43"/>
      <c r="W2" s="43"/>
      <c r="X2" s="43"/>
      <c r="Y2" s="43"/>
      <c r="Z2" s="43"/>
      <c r="AA2" s="43"/>
      <c r="AB2" s="43"/>
      <c r="AC2" s="43"/>
      <c r="AD2" s="43"/>
      <c r="AE2" s="43"/>
    </row>
    <row r="3" spans="1:37" x14ac:dyDescent="0.2">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row>
    <row r="4" spans="1:37" ht="33.75" x14ac:dyDescent="0.2">
      <c r="A4" s="43"/>
      <c r="B4" s="66"/>
      <c r="C4" s="86" t="s">
        <v>59</v>
      </c>
      <c r="D4" s="86" t="s">
        <v>42</v>
      </c>
      <c r="E4" s="43"/>
      <c r="F4" s="43"/>
      <c r="G4" s="43"/>
      <c r="H4" s="43"/>
      <c r="I4" s="43"/>
      <c r="J4" s="43"/>
      <c r="K4" s="43"/>
      <c r="L4" s="43"/>
      <c r="M4" s="43"/>
      <c r="N4" s="43"/>
      <c r="O4" s="43"/>
      <c r="P4" s="43"/>
      <c r="Q4" s="43"/>
      <c r="R4" s="43"/>
      <c r="S4" s="43"/>
      <c r="T4" s="43"/>
      <c r="U4" s="43"/>
      <c r="V4" s="43"/>
      <c r="W4" s="43"/>
      <c r="X4" s="43"/>
      <c r="Y4" s="43"/>
      <c r="Z4" s="43"/>
      <c r="AA4" s="43"/>
      <c r="AB4" s="43"/>
      <c r="AC4" s="43"/>
      <c r="AD4" s="43"/>
      <c r="AE4" s="43"/>
    </row>
    <row r="5" spans="1:37" ht="33" x14ac:dyDescent="0.2">
      <c r="A5" s="43"/>
      <c r="B5" s="81" t="s">
        <v>60</v>
      </c>
      <c r="C5" s="79" t="s">
        <v>61</v>
      </c>
      <c r="D5" s="80">
        <v>0.2</v>
      </c>
      <c r="E5" s="43"/>
      <c r="F5" s="43"/>
      <c r="G5" s="43"/>
      <c r="H5" s="43"/>
      <c r="I5" s="43"/>
      <c r="J5" s="43"/>
      <c r="K5" s="43"/>
      <c r="L5" s="43"/>
      <c r="M5" s="43"/>
      <c r="N5" s="43"/>
      <c r="O5" s="43"/>
      <c r="P5" s="43"/>
      <c r="Q5" s="43"/>
      <c r="R5" s="43"/>
      <c r="S5" s="43"/>
      <c r="T5" s="43"/>
      <c r="U5" s="43"/>
      <c r="V5" s="43"/>
      <c r="W5" s="43"/>
      <c r="X5" s="43"/>
      <c r="Y5" s="43"/>
      <c r="Z5" s="43"/>
      <c r="AA5" s="43"/>
      <c r="AB5" s="43"/>
      <c r="AC5" s="43"/>
      <c r="AD5" s="43"/>
      <c r="AE5" s="43"/>
    </row>
    <row r="6" spans="1:37" ht="33" x14ac:dyDescent="0.2">
      <c r="A6" s="43"/>
      <c r="B6" s="82" t="s">
        <v>62</v>
      </c>
      <c r="C6" s="79" t="s">
        <v>63</v>
      </c>
      <c r="D6" s="80">
        <v>0.4</v>
      </c>
      <c r="E6" s="43"/>
      <c r="F6" s="43"/>
      <c r="G6" s="43"/>
      <c r="H6" s="43"/>
      <c r="I6" s="43"/>
      <c r="J6" s="43"/>
      <c r="K6" s="43"/>
      <c r="L6" s="43"/>
      <c r="M6" s="43"/>
      <c r="N6" s="43"/>
      <c r="O6" s="43"/>
      <c r="P6" s="43"/>
      <c r="Q6" s="43"/>
      <c r="R6" s="43"/>
      <c r="S6" s="43"/>
      <c r="T6" s="43"/>
      <c r="U6" s="43"/>
      <c r="V6" s="43"/>
      <c r="W6" s="43"/>
      <c r="X6" s="43"/>
      <c r="Y6" s="43"/>
      <c r="Z6" s="43"/>
      <c r="AA6" s="43"/>
      <c r="AB6" s="43"/>
      <c r="AC6" s="43"/>
      <c r="AD6" s="43"/>
      <c r="AE6" s="43"/>
    </row>
    <row r="7" spans="1:37" ht="66" x14ac:dyDescent="0.2">
      <c r="A7" s="43"/>
      <c r="B7" s="83" t="s">
        <v>64</v>
      </c>
      <c r="C7" s="79" t="s">
        <v>65</v>
      </c>
      <c r="D7" s="80">
        <v>0.6</v>
      </c>
      <c r="E7" s="43"/>
      <c r="F7" s="43"/>
      <c r="G7" s="43"/>
      <c r="H7" s="43"/>
      <c r="I7" s="43"/>
      <c r="J7" s="43"/>
      <c r="K7" s="43"/>
      <c r="L7" s="43"/>
      <c r="M7" s="43"/>
      <c r="N7" s="43"/>
      <c r="O7" s="43"/>
      <c r="P7" s="43"/>
      <c r="Q7" s="43"/>
      <c r="R7" s="43"/>
      <c r="S7" s="43"/>
      <c r="T7" s="43"/>
      <c r="U7" s="43"/>
      <c r="V7" s="43"/>
      <c r="W7" s="43"/>
      <c r="X7" s="43"/>
      <c r="Y7" s="43"/>
      <c r="Z7" s="43"/>
      <c r="AA7" s="43"/>
      <c r="AB7" s="43"/>
      <c r="AC7" s="43"/>
      <c r="AD7" s="43"/>
      <c r="AE7" s="43"/>
    </row>
    <row r="8" spans="1:37" ht="33" x14ac:dyDescent="0.2">
      <c r="A8" s="43"/>
      <c r="B8" s="84" t="s">
        <v>66</v>
      </c>
      <c r="C8" s="79" t="s">
        <v>67</v>
      </c>
      <c r="D8" s="80">
        <v>0.8</v>
      </c>
      <c r="E8" s="43"/>
      <c r="F8" s="43"/>
      <c r="G8" s="43"/>
      <c r="H8" s="43"/>
      <c r="I8" s="43"/>
      <c r="J8" s="43"/>
      <c r="K8" s="43"/>
      <c r="L8" s="43"/>
      <c r="M8" s="43"/>
      <c r="N8" s="43"/>
      <c r="O8" s="43"/>
      <c r="P8" s="43"/>
      <c r="Q8" s="43"/>
      <c r="R8" s="43"/>
      <c r="S8" s="43"/>
      <c r="T8" s="43"/>
      <c r="U8" s="43"/>
      <c r="V8" s="43"/>
      <c r="W8" s="43"/>
      <c r="X8" s="43"/>
      <c r="Y8" s="43"/>
      <c r="Z8" s="43"/>
      <c r="AA8" s="43"/>
      <c r="AB8" s="43"/>
      <c r="AC8" s="43"/>
      <c r="AD8" s="43"/>
      <c r="AE8" s="43"/>
    </row>
    <row r="9" spans="1:37" ht="33" x14ac:dyDescent="0.2">
      <c r="A9" s="43"/>
      <c r="B9" s="85" t="s">
        <v>68</v>
      </c>
      <c r="C9" s="79" t="s">
        <v>69</v>
      </c>
      <c r="D9" s="80">
        <v>1</v>
      </c>
      <c r="E9" s="43"/>
      <c r="F9" s="43"/>
      <c r="G9" s="43"/>
      <c r="H9" s="43"/>
      <c r="I9" s="43"/>
      <c r="J9" s="43"/>
      <c r="K9" s="43"/>
      <c r="L9" s="43"/>
      <c r="M9" s="43"/>
      <c r="N9" s="43"/>
      <c r="O9" s="43"/>
      <c r="P9" s="43"/>
      <c r="Q9" s="43"/>
      <c r="R9" s="43"/>
      <c r="S9" s="43"/>
      <c r="T9" s="43"/>
      <c r="U9" s="43"/>
      <c r="V9" s="43"/>
      <c r="W9" s="43"/>
      <c r="X9" s="43"/>
      <c r="Y9" s="43"/>
      <c r="Z9" s="43"/>
      <c r="AA9" s="43"/>
      <c r="AB9" s="43"/>
      <c r="AC9" s="43"/>
      <c r="AD9" s="43"/>
      <c r="AE9" s="43"/>
    </row>
    <row r="10" spans="1:37" x14ac:dyDescent="0.2">
      <c r="A10" s="43"/>
      <c r="B10" s="54"/>
      <c r="C10" s="54"/>
      <c r="D10" s="54"/>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row>
    <row r="11" spans="1:37" ht="15" x14ac:dyDescent="0.2">
      <c r="A11" s="43"/>
      <c r="B11" s="65"/>
      <c r="C11" s="54"/>
      <c r="D11" s="54"/>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row>
    <row r="12" spans="1:37" x14ac:dyDescent="0.2">
      <c r="A12" s="43"/>
      <c r="B12" s="54"/>
      <c r="C12" s="54"/>
      <c r="D12" s="54"/>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row>
    <row r="13" spans="1:37" x14ac:dyDescent="0.2">
      <c r="A13" s="43"/>
      <c r="B13" s="54"/>
      <c r="C13" s="54"/>
      <c r="D13" s="54"/>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row>
    <row r="14" spans="1:37" x14ac:dyDescent="0.2">
      <c r="A14" s="43"/>
      <c r="B14" s="54"/>
      <c r="C14" s="54"/>
      <c r="D14" s="54"/>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row>
    <row r="15" spans="1:37" x14ac:dyDescent="0.2">
      <c r="A15" s="43"/>
      <c r="B15" s="54"/>
      <c r="C15" s="54"/>
      <c r="D15" s="54"/>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row>
    <row r="16" spans="1:37" x14ac:dyDescent="0.2">
      <c r="A16" s="43"/>
      <c r="B16" s="54"/>
      <c r="C16" s="54"/>
      <c r="D16" s="54"/>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row>
    <row r="17" spans="1:37" x14ac:dyDescent="0.2">
      <c r="A17" s="43"/>
      <c r="B17" s="54"/>
      <c r="C17" s="54"/>
      <c r="D17" s="54"/>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row>
    <row r="18" spans="1:37" x14ac:dyDescent="0.2">
      <c r="A18" s="43"/>
      <c r="B18" s="54"/>
      <c r="C18" s="54"/>
      <c r="D18" s="54"/>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row>
    <row r="19" spans="1:37" x14ac:dyDescent="0.2">
      <c r="A19" s="43"/>
      <c r="B19" s="54"/>
      <c r="C19" s="54"/>
      <c r="D19" s="54"/>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row>
    <row r="20" spans="1:37" x14ac:dyDescent="0.2">
      <c r="A20" s="43"/>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row>
    <row r="21" spans="1:37" x14ac:dyDescent="0.2">
      <c r="A21" s="43"/>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row>
    <row r="22" spans="1:37" x14ac:dyDescent="0.2">
      <c r="A22" s="43"/>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row>
    <row r="23" spans="1:37" x14ac:dyDescent="0.2">
      <c r="A23" s="43"/>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row>
    <row r="24" spans="1:37" x14ac:dyDescent="0.2">
      <c r="A24" s="43"/>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row>
    <row r="25" spans="1:37" x14ac:dyDescent="0.2">
      <c r="A25" s="43"/>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row>
    <row r="26" spans="1:37" x14ac:dyDescent="0.2">
      <c r="A26" s="43"/>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row>
    <row r="27" spans="1:37" x14ac:dyDescent="0.2">
      <c r="A27" s="43"/>
      <c r="B27" s="43"/>
      <c r="C27" s="43"/>
      <c r="D27" s="43"/>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row>
    <row r="28" spans="1:37" x14ac:dyDescent="0.2">
      <c r="A28" s="43"/>
      <c r="B28" s="4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row>
    <row r="29" spans="1:37" x14ac:dyDescent="0.2">
      <c r="A29" s="43"/>
      <c r="B29" s="43"/>
      <c r="C29" s="43"/>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row>
    <row r="30" spans="1:37" x14ac:dyDescent="0.2">
      <c r="A30" s="43"/>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row>
    <row r="31" spans="1:37" x14ac:dyDescent="0.2">
      <c r="A31" s="43"/>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row>
    <row r="32" spans="1:37" x14ac:dyDescent="0.2">
      <c r="A32" s="43"/>
      <c r="B32" s="43"/>
      <c r="C32" s="43"/>
      <c r="D32" s="43"/>
      <c r="E32" s="43"/>
      <c r="F32" s="43"/>
      <c r="G32" s="43"/>
      <c r="H32" s="43"/>
      <c r="I32" s="43"/>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3"/>
      <c r="AJ32" s="43"/>
      <c r="AK32" s="43"/>
    </row>
    <row r="33" spans="1:37" x14ac:dyDescent="0.2">
      <c r="A33" s="43"/>
      <c r="B33" s="43"/>
      <c r="C33" s="43"/>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row>
    <row r="34" spans="1:37" x14ac:dyDescent="0.2">
      <c r="A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row>
    <row r="35" spans="1:37" x14ac:dyDescent="0.2">
      <c r="A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row>
    <row r="36" spans="1:37" x14ac:dyDescent="0.2">
      <c r="A36" s="43"/>
    </row>
    <row r="37" spans="1:37" x14ac:dyDescent="0.2">
      <c r="A37" s="43"/>
    </row>
    <row r="38" spans="1:37" x14ac:dyDescent="0.2">
      <c r="A38" s="43"/>
    </row>
    <row r="39" spans="1:37" x14ac:dyDescent="0.2">
      <c r="A39" s="43"/>
    </row>
    <row r="40" spans="1:37" x14ac:dyDescent="0.2">
      <c r="A40" s="43"/>
    </row>
    <row r="41" spans="1:37" x14ac:dyDescent="0.2">
      <c r="A41" s="43"/>
    </row>
    <row r="42" spans="1:37" x14ac:dyDescent="0.2">
      <c r="A42" s="43"/>
    </row>
    <row r="43" spans="1:37" x14ac:dyDescent="0.2">
      <c r="A43" s="43"/>
    </row>
    <row r="44" spans="1:37" x14ac:dyDescent="0.2">
      <c r="A44" s="43"/>
    </row>
    <row r="45" spans="1:37" x14ac:dyDescent="0.2">
      <c r="A45" s="43"/>
    </row>
    <row r="46" spans="1:37" x14ac:dyDescent="0.2">
      <c r="A46" s="43"/>
    </row>
    <row r="47" spans="1:37" x14ac:dyDescent="0.2">
      <c r="A47" s="43"/>
    </row>
    <row r="48" spans="1:37" x14ac:dyDescent="0.2">
      <c r="A48" s="43"/>
    </row>
    <row r="49" spans="1:1" x14ac:dyDescent="0.2">
      <c r="A49" s="43"/>
    </row>
    <row r="50" spans="1:1" x14ac:dyDescent="0.2">
      <c r="A50" s="43"/>
    </row>
    <row r="51" spans="1:1" x14ac:dyDescent="0.2">
      <c r="A51" s="43"/>
    </row>
    <row r="52" spans="1:1" x14ac:dyDescent="0.2">
      <c r="A52" s="43"/>
    </row>
    <row r="53" spans="1:1" x14ac:dyDescent="0.2">
      <c r="A53" s="43"/>
    </row>
    <row r="54" spans="1:1" x14ac:dyDescent="0.2">
      <c r="A54" s="43"/>
    </row>
    <row r="55" spans="1:1" x14ac:dyDescent="0.2">
      <c r="A55" s="43"/>
    </row>
    <row r="56" spans="1:1" x14ac:dyDescent="0.2">
      <c r="A56" s="43"/>
    </row>
  </sheetData>
  <mergeCells count="1">
    <mergeCell ref="B2:D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U231"/>
  <sheetViews>
    <sheetView showGridLines="0" topLeftCell="C5" zoomScale="50" zoomScaleNormal="50" workbookViewId="0">
      <selection activeCell="G26" sqref="G8:G26"/>
    </sheetView>
  </sheetViews>
  <sheetFormatPr baseColWidth="10" defaultColWidth="11.42578125" defaultRowHeight="14.25" x14ac:dyDescent="0.2"/>
  <cols>
    <col min="1" max="1" width="11.42578125" style="44"/>
    <col min="2" max="2" width="37.140625" style="44" customWidth="1"/>
    <col min="3" max="3" width="85.85546875" style="44" customWidth="1"/>
    <col min="4" max="4" width="39" style="44" customWidth="1"/>
    <col min="5" max="5" width="14.140625" style="73" customWidth="1"/>
    <col min="6" max="6" width="161.85546875" style="73" customWidth="1"/>
    <col min="7" max="7" width="24.28515625" style="73" customWidth="1"/>
    <col min="8" max="8" width="23.7109375" style="73" customWidth="1"/>
    <col min="9" max="9" width="11.42578125" style="73"/>
    <col min="10" max="16384" width="11.42578125" style="44"/>
  </cols>
  <sheetData>
    <row r="2" spans="1:21" ht="33.75" x14ac:dyDescent="0.2">
      <c r="A2" s="43"/>
      <c r="B2" s="351" t="s">
        <v>70</v>
      </c>
      <c r="C2" s="351"/>
      <c r="D2" s="351"/>
      <c r="E2" s="72"/>
      <c r="F2" s="72"/>
      <c r="G2" s="72"/>
      <c r="H2" s="72"/>
      <c r="I2" s="72"/>
      <c r="J2" s="43"/>
      <c r="K2" s="43"/>
      <c r="L2" s="43"/>
      <c r="M2" s="43"/>
      <c r="N2" s="43"/>
      <c r="O2" s="43"/>
      <c r="P2" s="43"/>
      <c r="Q2" s="43"/>
      <c r="R2" s="43"/>
      <c r="S2" s="43"/>
      <c r="T2" s="43"/>
      <c r="U2" s="43"/>
    </row>
    <row r="3" spans="1:21" x14ac:dyDescent="0.2">
      <c r="A3" s="43"/>
      <c r="B3" s="43"/>
      <c r="C3" s="43"/>
      <c r="D3" s="43"/>
      <c r="E3" s="72"/>
      <c r="F3" s="72"/>
      <c r="G3" s="72"/>
      <c r="H3" s="72"/>
      <c r="I3" s="72"/>
      <c r="J3" s="43"/>
      <c r="K3" s="43"/>
      <c r="L3" s="43"/>
      <c r="M3" s="43"/>
      <c r="N3" s="43"/>
      <c r="O3" s="43"/>
      <c r="P3" s="43"/>
      <c r="Q3" s="43"/>
      <c r="R3" s="43"/>
      <c r="S3" s="43"/>
      <c r="T3" s="43"/>
      <c r="U3" s="43"/>
    </row>
    <row r="4" spans="1:21" ht="30" x14ac:dyDescent="0.2">
      <c r="A4" s="43"/>
      <c r="B4" s="42"/>
      <c r="C4" s="88" t="s">
        <v>71</v>
      </c>
      <c r="D4" s="70"/>
      <c r="E4" s="72"/>
      <c r="F4" s="72"/>
      <c r="G4" s="72"/>
      <c r="H4" s="72"/>
      <c r="I4" s="72"/>
      <c r="J4" s="43"/>
      <c r="K4" s="43"/>
      <c r="L4" s="43"/>
      <c r="M4" s="43"/>
      <c r="N4" s="43"/>
      <c r="O4" s="43"/>
      <c r="P4" s="43"/>
      <c r="Q4" s="43"/>
      <c r="R4" s="43"/>
      <c r="S4" s="43"/>
      <c r="T4" s="43"/>
      <c r="U4" s="43"/>
    </row>
    <row r="5" spans="1:21" ht="96" customHeight="1" thickBot="1" x14ac:dyDescent="0.25">
      <c r="A5" s="51" t="s">
        <v>48</v>
      </c>
      <c r="B5" s="83" t="s">
        <v>72</v>
      </c>
      <c r="C5" s="87" t="s">
        <v>73</v>
      </c>
      <c r="D5" s="69"/>
      <c r="E5" s="72"/>
      <c r="F5" s="72"/>
      <c r="G5" s="72"/>
      <c r="H5" s="72"/>
      <c r="I5" s="72"/>
      <c r="J5" s="43"/>
      <c r="K5" s="43"/>
      <c r="L5" s="43"/>
      <c r="M5" s="43"/>
      <c r="N5" s="43"/>
      <c r="O5" s="43"/>
      <c r="P5" s="43"/>
      <c r="Q5" s="43"/>
      <c r="R5" s="43"/>
      <c r="S5" s="43"/>
      <c r="T5" s="43"/>
      <c r="U5" s="43"/>
    </row>
    <row r="6" spans="1:21" ht="98.25" customHeight="1" x14ac:dyDescent="0.2">
      <c r="A6" s="51" t="s">
        <v>74</v>
      </c>
      <c r="B6" s="84" t="s">
        <v>75</v>
      </c>
      <c r="C6" s="87" t="s">
        <v>76</v>
      </c>
      <c r="D6" s="69"/>
      <c r="E6" s="358" t="s">
        <v>77</v>
      </c>
      <c r="F6" s="355" t="s">
        <v>78</v>
      </c>
      <c r="G6" s="355" t="s">
        <v>79</v>
      </c>
      <c r="H6" s="356"/>
      <c r="I6" s="72"/>
      <c r="J6" s="43"/>
      <c r="K6" s="43"/>
      <c r="L6" s="43"/>
      <c r="M6" s="43"/>
      <c r="N6" s="43"/>
      <c r="O6" s="43"/>
      <c r="P6" s="43"/>
      <c r="Q6" s="43"/>
      <c r="R6" s="43"/>
      <c r="S6" s="43"/>
      <c r="T6" s="43"/>
      <c r="U6" s="43"/>
    </row>
    <row r="7" spans="1:21" ht="107.25" customHeight="1" x14ac:dyDescent="0.2">
      <c r="A7" s="51" t="s">
        <v>80</v>
      </c>
      <c r="B7" s="85" t="s">
        <v>81</v>
      </c>
      <c r="C7" s="87" t="s">
        <v>82</v>
      </c>
      <c r="D7" s="69"/>
      <c r="E7" s="359"/>
      <c r="F7" s="357"/>
      <c r="G7" s="89" t="s">
        <v>83</v>
      </c>
      <c r="H7" s="92" t="s">
        <v>84</v>
      </c>
      <c r="I7" s="72"/>
      <c r="J7" s="43"/>
      <c r="K7" s="43"/>
      <c r="L7" s="43"/>
      <c r="M7" s="43"/>
      <c r="N7" s="43"/>
      <c r="O7" s="43"/>
      <c r="P7" s="43"/>
      <c r="Q7" s="43"/>
      <c r="R7" s="43"/>
      <c r="S7" s="43"/>
      <c r="T7" s="43"/>
      <c r="U7" s="43"/>
    </row>
    <row r="8" spans="1:21" ht="33" x14ac:dyDescent="0.2">
      <c r="A8" s="51"/>
      <c r="B8" s="51"/>
      <c r="C8" s="52"/>
      <c r="D8" s="52"/>
      <c r="E8" s="93">
        <v>1</v>
      </c>
      <c r="F8" s="90" t="s">
        <v>85</v>
      </c>
      <c r="G8" s="90" t="s">
        <v>215</v>
      </c>
      <c r="H8" s="94"/>
      <c r="I8" s="72"/>
      <c r="J8" s="43"/>
      <c r="K8" s="43"/>
      <c r="L8" s="43"/>
      <c r="M8" s="43"/>
      <c r="N8" s="43"/>
      <c r="O8" s="43"/>
      <c r="P8" s="43"/>
      <c r="Q8" s="43"/>
      <c r="R8" s="43"/>
      <c r="S8" s="43"/>
      <c r="T8" s="43"/>
      <c r="U8" s="43"/>
    </row>
    <row r="9" spans="1:21" ht="33" x14ac:dyDescent="0.2">
      <c r="A9" s="51"/>
      <c r="B9" s="53"/>
      <c r="C9" s="53"/>
      <c r="D9" s="53"/>
      <c r="E9" s="93">
        <v>2</v>
      </c>
      <c r="F9" s="90" t="s">
        <v>86</v>
      </c>
      <c r="G9" s="90" t="s">
        <v>215</v>
      </c>
      <c r="H9" s="94"/>
      <c r="I9" s="72"/>
      <c r="J9" s="43"/>
      <c r="K9" s="43"/>
      <c r="L9" s="43"/>
      <c r="M9" s="43"/>
      <c r="N9" s="43"/>
      <c r="O9" s="43"/>
      <c r="P9" s="43"/>
      <c r="Q9" s="43"/>
      <c r="R9" s="43"/>
      <c r="S9" s="43"/>
      <c r="T9" s="43"/>
      <c r="U9" s="43"/>
    </row>
    <row r="10" spans="1:21" ht="33.75" x14ac:dyDescent="0.2">
      <c r="A10" s="51"/>
      <c r="B10" s="51" t="s">
        <v>87</v>
      </c>
      <c r="C10" s="51" t="s">
        <v>88</v>
      </c>
      <c r="D10" s="51" t="s">
        <v>89</v>
      </c>
      <c r="E10" s="93">
        <v>3</v>
      </c>
      <c r="F10" s="90" t="s">
        <v>90</v>
      </c>
      <c r="G10" s="91" t="s">
        <v>215</v>
      </c>
      <c r="H10" s="94"/>
      <c r="I10" s="72"/>
      <c r="J10" s="43"/>
      <c r="K10" s="43"/>
      <c r="L10" s="43"/>
      <c r="M10" s="43"/>
      <c r="N10" s="43"/>
      <c r="O10" s="43"/>
      <c r="P10" s="43"/>
      <c r="Q10" s="43"/>
      <c r="R10" s="43"/>
      <c r="S10" s="43"/>
      <c r="T10" s="43"/>
      <c r="U10" s="43"/>
    </row>
    <row r="11" spans="1:21" ht="66" x14ac:dyDescent="0.2">
      <c r="A11" s="51"/>
      <c r="B11" s="51" t="s">
        <v>91</v>
      </c>
      <c r="C11" s="51" t="s">
        <v>92</v>
      </c>
      <c r="D11" s="51" t="s">
        <v>93</v>
      </c>
      <c r="E11" s="93">
        <v>4</v>
      </c>
      <c r="F11" s="90" t="s">
        <v>94</v>
      </c>
      <c r="G11" s="90" t="s">
        <v>215</v>
      </c>
      <c r="H11" s="94"/>
      <c r="I11" s="72"/>
      <c r="J11" s="43"/>
      <c r="K11" s="43"/>
      <c r="L11" s="43"/>
      <c r="M11" s="43"/>
      <c r="N11" s="43"/>
      <c r="O11" s="43"/>
      <c r="P11" s="43"/>
      <c r="Q11" s="43"/>
      <c r="R11" s="43"/>
      <c r="S11" s="43"/>
      <c r="T11" s="43"/>
      <c r="U11" s="43"/>
    </row>
    <row r="12" spans="1:21" ht="33" x14ac:dyDescent="0.2">
      <c r="A12" s="51"/>
      <c r="B12" s="51"/>
      <c r="C12" s="51" t="s">
        <v>95</v>
      </c>
      <c r="D12" s="51" t="s">
        <v>96</v>
      </c>
      <c r="E12" s="93">
        <v>5</v>
      </c>
      <c r="F12" s="90" t="s">
        <v>97</v>
      </c>
      <c r="G12" s="90" t="s">
        <v>215</v>
      </c>
      <c r="H12" s="94"/>
      <c r="I12" s="72"/>
      <c r="J12" s="43"/>
      <c r="K12" s="43"/>
      <c r="L12" s="43"/>
      <c r="M12" s="43"/>
      <c r="N12" s="43"/>
      <c r="O12" s="43"/>
      <c r="P12" s="43"/>
      <c r="Q12" s="43"/>
      <c r="R12" s="43"/>
      <c r="S12" s="43"/>
      <c r="T12" s="43"/>
      <c r="U12" s="43"/>
    </row>
    <row r="13" spans="1:21" ht="33" x14ac:dyDescent="0.2">
      <c r="A13" s="51"/>
      <c r="B13" s="51"/>
      <c r="C13" s="51" t="s">
        <v>98</v>
      </c>
      <c r="D13" s="51" t="s">
        <v>99</v>
      </c>
      <c r="E13" s="93">
        <v>6</v>
      </c>
      <c r="F13" s="90" t="s">
        <v>100</v>
      </c>
      <c r="G13" s="90"/>
      <c r="H13" s="94" t="s">
        <v>215</v>
      </c>
      <c r="I13" s="72"/>
      <c r="J13" s="43"/>
      <c r="K13" s="43"/>
      <c r="L13" s="43"/>
      <c r="M13" s="43"/>
      <c r="N13" s="43"/>
      <c r="O13" s="43"/>
      <c r="P13" s="43"/>
      <c r="Q13" s="43"/>
      <c r="R13" s="43"/>
      <c r="S13" s="43"/>
      <c r="T13" s="43"/>
      <c r="U13" s="43"/>
    </row>
    <row r="14" spans="1:21" ht="66" x14ac:dyDescent="0.2">
      <c r="A14" s="51"/>
      <c r="B14" s="51"/>
      <c r="C14" s="51" t="s">
        <v>101</v>
      </c>
      <c r="D14" s="51" t="s">
        <v>102</v>
      </c>
      <c r="E14" s="93">
        <v>7</v>
      </c>
      <c r="F14" s="90" t="s">
        <v>103</v>
      </c>
      <c r="G14" s="90"/>
      <c r="H14" s="94" t="s">
        <v>215</v>
      </c>
      <c r="I14" s="72"/>
      <c r="J14" s="43"/>
      <c r="K14" s="43"/>
      <c r="L14" s="43"/>
      <c r="M14" s="43"/>
      <c r="N14" s="43"/>
      <c r="O14" s="43"/>
      <c r="P14" s="43"/>
      <c r="Q14" s="43"/>
      <c r="R14" s="43"/>
      <c r="S14" s="43"/>
      <c r="T14" s="43"/>
      <c r="U14" s="43"/>
    </row>
    <row r="15" spans="1:21" ht="66" x14ac:dyDescent="0.2">
      <c r="A15" s="51"/>
      <c r="B15" s="51"/>
      <c r="C15" s="51"/>
      <c r="D15" s="51"/>
      <c r="E15" s="93">
        <v>8</v>
      </c>
      <c r="F15" s="90" t="s">
        <v>104</v>
      </c>
      <c r="G15" s="90"/>
      <c r="H15" s="94" t="s">
        <v>215</v>
      </c>
      <c r="I15" s="72"/>
      <c r="J15" s="43"/>
      <c r="K15" s="43"/>
      <c r="L15" s="43"/>
      <c r="M15" s="43"/>
      <c r="N15" s="43"/>
      <c r="O15" s="43"/>
    </row>
    <row r="16" spans="1:21" ht="33" x14ac:dyDescent="0.2">
      <c r="A16" s="51"/>
      <c r="B16" s="51"/>
      <c r="C16" s="51"/>
      <c r="D16" s="51"/>
      <c r="E16" s="93">
        <v>9</v>
      </c>
      <c r="F16" s="90" t="s">
        <v>105</v>
      </c>
      <c r="G16" s="90"/>
      <c r="H16" s="94" t="s">
        <v>215</v>
      </c>
      <c r="I16" s="72"/>
      <c r="J16" s="43"/>
      <c r="K16" s="43"/>
      <c r="L16" s="43"/>
      <c r="M16" s="43"/>
      <c r="N16" s="43"/>
      <c r="O16" s="43"/>
    </row>
    <row r="17" spans="1:15" ht="66" x14ac:dyDescent="0.2">
      <c r="A17" s="51"/>
      <c r="B17" s="54"/>
      <c r="C17" s="54"/>
      <c r="D17" s="54"/>
      <c r="E17" s="93">
        <v>10</v>
      </c>
      <c r="F17" s="90" t="s">
        <v>106</v>
      </c>
      <c r="G17" s="90" t="s">
        <v>215</v>
      </c>
      <c r="H17" s="94"/>
      <c r="I17" s="72"/>
      <c r="J17" s="43"/>
      <c r="K17" s="43"/>
      <c r="L17" s="43"/>
      <c r="M17" s="43"/>
      <c r="N17" s="43"/>
      <c r="O17" s="43"/>
    </row>
    <row r="18" spans="1:15" ht="33" x14ac:dyDescent="0.2">
      <c r="A18" s="51"/>
      <c r="B18" s="54"/>
      <c r="C18" s="54"/>
      <c r="D18" s="54"/>
      <c r="E18" s="93">
        <v>11</v>
      </c>
      <c r="F18" s="90" t="s">
        <v>107</v>
      </c>
      <c r="G18" s="90" t="s">
        <v>215</v>
      </c>
      <c r="H18" s="94"/>
      <c r="I18" s="72"/>
      <c r="J18" s="43"/>
      <c r="K18" s="43"/>
      <c r="L18" s="43"/>
      <c r="M18" s="43"/>
      <c r="N18" s="43"/>
      <c r="O18" s="43"/>
    </row>
    <row r="19" spans="1:15" ht="33" x14ac:dyDescent="0.2">
      <c r="A19" s="51"/>
      <c r="B19" s="54"/>
      <c r="C19" s="54"/>
      <c r="D19" s="54"/>
      <c r="E19" s="93">
        <v>12</v>
      </c>
      <c r="F19" s="90" t="s">
        <v>108</v>
      </c>
      <c r="G19" s="90" t="s">
        <v>215</v>
      </c>
      <c r="H19" s="94"/>
      <c r="I19" s="72"/>
      <c r="J19" s="43"/>
      <c r="K19" s="43"/>
      <c r="L19" s="43"/>
      <c r="M19" s="43"/>
      <c r="N19" s="43"/>
      <c r="O19" s="43"/>
    </row>
    <row r="20" spans="1:15" ht="33" x14ac:dyDescent="0.2">
      <c r="A20" s="51"/>
      <c r="B20" s="54"/>
      <c r="C20" s="54"/>
      <c r="D20" s="54"/>
      <c r="E20" s="93">
        <v>13</v>
      </c>
      <c r="F20" s="90" t="s">
        <v>109</v>
      </c>
      <c r="G20" s="90"/>
      <c r="H20" s="94" t="s">
        <v>215</v>
      </c>
      <c r="I20" s="72"/>
      <c r="J20" s="43"/>
      <c r="K20" s="43"/>
      <c r="L20" s="43"/>
      <c r="M20" s="43"/>
      <c r="N20" s="43"/>
      <c r="O20" s="43"/>
    </row>
    <row r="21" spans="1:15" ht="33" x14ac:dyDescent="0.2">
      <c r="A21" s="51"/>
      <c r="B21" s="51"/>
      <c r="C21" s="52"/>
      <c r="D21" s="52"/>
      <c r="E21" s="93">
        <v>14</v>
      </c>
      <c r="F21" s="90" t="s">
        <v>110</v>
      </c>
      <c r="G21" s="90" t="s">
        <v>215</v>
      </c>
      <c r="H21" s="94"/>
      <c r="I21" s="72"/>
      <c r="J21" s="43"/>
      <c r="K21" s="43"/>
      <c r="L21" s="43"/>
      <c r="M21" s="43"/>
      <c r="N21" s="43"/>
      <c r="O21" s="43"/>
    </row>
    <row r="22" spans="1:15" ht="33" x14ac:dyDescent="0.2">
      <c r="A22" s="51"/>
      <c r="B22" s="51"/>
      <c r="C22" s="52"/>
      <c r="D22" s="52"/>
      <c r="E22" s="93">
        <v>15</v>
      </c>
      <c r="F22" s="90" t="s">
        <v>111</v>
      </c>
      <c r="G22" s="90" t="s">
        <v>215</v>
      </c>
      <c r="H22" s="94"/>
      <c r="I22" s="72"/>
      <c r="J22" s="43"/>
      <c r="K22" s="43"/>
      <c r="L22" s="43"/>
      <c r="M22" s="43"/>
      <c r="N22" s="43"/>
      <c r="O22" s="43"/>
    </row>
    <row r="23" spans="1:15" ht="33" x14ac:dyDescent="0.2">
      <c r="A23" s="51"/>
      <c r="B23" s="51"/>
      <c r="C23" s="52"/>
      <c r="D23" s="52"/>
      <c r="E23" s="93">
        <v>16</v>
      </c>
      <c r="F23" s="90" t="s">
        <v>112</v>
      </c>
      <c r="G23" s="90"/>
      <c r="H23" s="94" t="s">
        <v>215</v>
      </c>
      <c r="I23" s="72"/>
      <c r="J23" s="43"/>
      <c r="K23" s="43"/>
      <c r="L23" s="43"/>
      <c r="M23" s="43"/>
      <c r="N23" s="43"/>
      <c r="O23" s="43"/>
    </row>
    <row r="24" spans="1:15" ht="33" x14ac:dyDescent="0.2">
      <c r="A24" s="51"/>
      <c r="B24" s="51"/>
      <c r="C24" s="52"/>
      <c r="D24" s="52"/>
      <c r="E24" s="93">
        <v>17</v>
      </c>
      <c r="F24" s="90" t="s">
        <v>113</v>
      </c>
      <c r="G24" s="90" t="s">
        <v>215</v>
      </c>
      <c r="H24" s="94"/>
      <c r="I24" s="72"/>
      <c r="J24" s="43"/>
      <c r="K24" s="43"/>
      <c r="L24" s="43"/>
      <c r="M24" s="43"/>
      <c r="N24" s="43"/>
      <c r="O24" s="43"/>
    </row>
    <row r="25" spans="1:15" ht="33" x14ac:dyDescent="0.2">
      <c r="A25" s="51"/>
      <c r="B25" s="51"/>
      <c r="C25" s="52"/>
      <c r="D25" s="52"/>
      <c r="E25" s="93">
        <v>18</v>
      </c>
      <c r="F25" s="90" t="s">
        <v>114</v>
      </c>
      <c r="G25" s="90" t="s">
        <v>215</v>
      </c>
      <c r="H25" s="94"/>
      <c r="I25" s="72"/>
      <c r="J25" s="43"/>
      <c r="K25" s="43"/>
      <c r="L25" s="43"/>
      <c r="M25" s="43"/>
      <c r="N25" s="43"/>
      <c r="O25" s="43"/>
    </row>
    <row r="26" spans="1:15" ht="33" x14ac:dyDescent="0.2">
      <c r="A26" s="51"/>
      <c r="B26" s="51"/>
      <c r="C26" s="52"/>
      <c r="D26" s="52"/>
      <c r="E26" s="93">
        <v>19</v>
      </c>
      <c r="F26" s="90" t="s">
        <v>115</v>
      </c>
      <c r="G26" s="90"/>
      <c r="H26" s="94" t="s">
        <v>215</v>
      </c>
      <c r="I26" s="72"/>
      <c r="J26" s="43"/>
      <c r="K26" s="43"/>
      <c r="L26" s="43"/>
      <c r="M26" s="43"/>
      <c r="N26" s="43"/>
      <c r="O26" s="43"/>
    </row>
    <row r="27" spans="1:15" ht="33" x14ac:dyDescent="0.2">
      <c r="A27" s="51"/>
      <c r="B27" s="51"/>
      <c r="C27" s="52"/>
      <c r="D27" s="52"/>
      <c r="E27" s="360" t="s">
        <v>116</v>
      </c>
      <c r="F27" s="361"/>
      <c r="G27" s="361"/>
      <c r="H27" s="362"/>
      <c r="I27" s="72"/>
      <c r="J27" s="43"/>
      <c r="K27" s="43"/>
      <c r="L27" s="43"/>
      <c r="M27" s="43"/>
      <c r="N27" s="43"/>
      <c r="O27" s="43"/>
    </row>
    <row r="28" spans="1:15" ht="33" customHeight="1" x14ac:dyDescent="0.2">
      <c r="A28" s="51"/>
      <c r="B28" s="51"/>
      <c r="C28" s="52"/>
      <c r="D28" s="52"/>
      <c r="E28" s="360" t="s">
        <v>117</v>
      </c>
      <c r="F28" s="361"/>
      <c r="G28" s="361"/>
      <c r="H28" s="362"/>
      <c r="I28" s="72"/>
      <c r="J28" s="43"/>
      <c r="K28" s="43"/>
      <c r="L28" s="43"/>
      <c r="M28" s="43"/>
      <c r="N28" s="43"/>
      <c r="O28" s="43"/>
    </row>
    <row r="29" spans="1:15" ht="33" customHeight="1" x14ac:dyDescent="0.2">
      <c r="A29" s="51"/>
      <c r="B29" s="51"/>
      <c r="C29" s="52"/>
      <c r="D29" s="52"/>
      <c r="E29" s="360" t="s">
        <v>118</v>
      </c>
      <c r="F29" s="361"/>
      <c r="G29" s="361"/>
      <c r="H29" s="362"/>
      <c r="I29" s="72"/>
      <c r="J29" s="43"/>
      <c r="K29" s="43"/>
      <c r="L29" s="43"/>
      <c r="M29" s="43"/>
      <c r="N29" s="43"/>
      <c r="O29" s="43"/>
    </row>
    <row r="30" spans="1:15" ht="73.5" customHeight="1" x14ac:dyDescent="0.2">
      <c r="A30" s="51"/>
      <c r="B30" s="51"/>
      <c r="C30" s="52"/>
      <c r="D30" s="52"/>
      <c r="E30" s="360" t="s">
        <v>119</v>
      </c>
      <c r="F30" s="361"/>
      <c r="G30" s="361"/>
      <c r="H30" s="362"/>
      <c r="I30" s="72"/>
      <c r="J30" s="43"/>
      <c r="K30" s="43"/>
      <c r="L30" s="43"/>
      <c r="M30" s="43"/>
      <c r="N30" s="43"/>
      <c r="O30" s="43"/>
    </row>
    <row r="31" spans="1:15" ht="37.5" customHeight="1" x14ac:dyDescent="0.2">
      <c r="A31" s="51"/>
      <c r="B31" s="51"/>
      <c r="C31" s="52"/>
      <c r="D31" s="52"/>
      <c r="E31" s="360" t="s">
        <v>120</v>
      </c>
      <c r="F31" s="361"/>
      <c r="G31" s="361"/>
      <c r="H31" s="362"/>
      <c r="I31" s="72"/>
      <c r="J31" s="43"/>
      <c r="K31" s="43"/>
      <c r="L31" s="43"/>
      <c r="M31" s="43"/>
      <c r="N31" s="43"/>
      <c r="O31" s="43"/>
    </row>
    <row r="32" spans="1:15" ht="33.75" customHeight="1" x14ac:dyDescent="0.2">
      <c r="A32" s="51"/>
      <c r="B32" s="51"/>
      <c r="C32" s="52"/>
      <c r="D32" s="52"/>
      <c r="E32" s="360" t="s">
        <v>121</v>
      </c>
      <c r="F32" s="361"/>
      <c r="G32" s="361"/>
      <c r="H32" s="362"/>
      <c r="I32" s="72"/>
      <c r="J32" s="43"/>
      <c r="K32" s="43"/>
      <c r="L32" s="43"/>
      <c r="M32" s="43"/>
      <c r="N32" s="43"/>
      <c r="O32" s="43"/>
    </row>
    <row r="33" spans="1:15" ht="33.75" customHeight="1" thickBot="1" x14ac:dyDescent="0.25">
      <c r="A33" s="51"/>
      <c r="B33" s="51"/>
      <c r="C33" s="52"/>
      <c r="D33" s="52"/>
      <c r="E33" s="352" t="s">
        <v>122</v>
      </c>
      <c r="F33" s="353"/>
      <c r="G33" s="353"/>
      <c r="H33" s="354"/>
      <c r="I33" s="72"/>
      <c r="J33" s="43"/>
      <c r="K33" s="43"/>
      <c r="L33" s="43"/>
      <c r="M33" s="43"/>
      <c r="N33" s="43"/>
      <c r="O33" s="43"/>
    </row>
    <row r="34" spans="1:15" ht="20.25" x14ac:dyDescent="0.2">
      <c r="A34" s="51"/>
      <c r="B34" s="51"/>
      <c r="C34" s="52"/>
      <c r="D34" s="52"/>
      <c r="I34" s="72"/>
      <c r="J34" s="43"/>
      <c r="K34" s="43"/>
      <c r="L34" s="43"/>
      <c r="M34" s="43"/>
      <c r="N34" s="43"/>
      <c r="O34" s="43"/>
    </row>
    <row r="35" spans="1:15" ht="20.25" x14ac:dyDescent="0.2">
      <c r="A35" s="51"/>
      <c r="B35" s="51"/>
      <c r="C35" s="52"/>
      <c r="D35" s="52"/>
      <c r="E35" s="72"/>
      <c r="F35" s="72"/>
      <c r="G35" s="72"/>
      <c r="H35" s="72"/>
      <c r="I35" s="72"/>
      <c r="J35" s="43"/>
      <c r="K35" s="43"/>
      <c r="L35" s="43"/>
      <c r="M35" s="43"/>
      <c r="N35" s="43"/>
      <c r="O35" s="43"/>
    </row>
    <row r="36" spans="1:15" ht="20.25" x14ac:dyDescent="0.2">
      <c r="A36" s="51"/>
      <c r="B36" s="51"/>
      <c r="C36" s="52"/>
      <c r="D36" s="52"/>
      <c r="E36" s="72"/>
      <c r="F36" s="72"/>
      <c r="G36" s="72"/>
      <c r="H36" s="72"/>
      <c r="I36" s="72"/>
      <c r="J36" s="43"/>
      <c r="K36" s="43"/>
      <c r="L36" s="43"/>
      <c r="M36" s="43"/>
      <c r="N36" s="43"/>
      <c r="O36" s="43"/>
    </row>
    <row r="37" spans="1:15" ht="20.25" x14ac:dyDescent="0.2">
      <c r="A37" s="51"/>
      <c r="B37" s="51"/>
      <c r="C37" s="52"/>
      <c r="D37" s="52"/>
      <c r="E37" s="72"/>
      <c r="F37" s="72"/>
      <c r="G37" s="72"/>
      <c r="H37" s="72"/>
      <c r="I37" s="72"/>
      <c r="J37" s="43"/>
      <c r="K37" s="43"/>
      <c r="L37" s="43"/>
      <c r="M37" s="43"/>
      <c r="N37" s="43"/>
      <c r="O37" s="43"/>
    </row>
    <row r="38" spans="1:15" ht="20.25" x14ac:dyDescent="0.2">
      <c r="A38" s="51"/>
      <c r="B38" s="51"/>
      <c r="C38" s="52"/>
      <c r="D38" s="52"/>
      <c r="E38" s="72"/>
      <c r="F38" s="72"/>
      <c r="G38" s="72"/>
      <c r="H38" s="72"/>
      <c r="I38" s="72"/>
      <c r="J38" s="43"/>
      <c r="K38" s="43"/>
      <c r="L38" s="43"/>
      <c r="M38" s="43"/>
      <c r="N38" s="43"/>
      <c r="O38" s="43"/>
    </row>
    <row r="39" spans="1:15" ht="20.25" x14ac:dyDescent="0.2">
      <c r="A39" s="51"/>
      <c r="B39" s="51"/>
      <c r="C39" s="52"/>
      <c r="D39" s="52"/>
      <c r="E39" s="72"/>
      <c r="F39" s="72"/>
      <c r="G39" s="72"/>
      <c r="H39" s="72"/>
      <c r="I39" s="72"/>
      <c r="J39" s="43"/>
      <c r="K39" s="43"/>
      <c r="L39" s="43"/>
      <c r="M39" s="43"/>
      <c r="N39" s="43"/>
      <c r="O39" s="43"/>
    </row>
    <row r="40" spans="1:15" ht="20.25" x14ac:dyDescent="0.2">
      <c r="A40" s="51"/>
      <c r="B40" s="51"/>
      <c r="C40" s="52"/>
      <c r="D40" s="52"/>
      <c r="E40" s="72"/>
      <c r="F40" s="72"/>
      <c r="G40" s="72"/>
      <c r="H40" s="72"/>
      <c r="I40" s="72"/>
      <c r="J40" s="43"/>
      <c r="K40" s="43"/>
      <c r="L40" s="43"/>
      <c r="M40" s="43"/>
      <c r="N40" s="43"/>
      <c r="O40" s="43"/>
    </row>
    <row r="41" spans="1:15" ht="20.25" x14ac:dyDescent="0.2">
      <c r="A41" s="51"/>
      <c r="B41" s="51"/>
      <c r="C41" s="52"/>
      <c r="D41" s="52"/>
      <c r="E41" s="72"/>
      <c r="F41" s="72"/>
      <c r="G41" s="72"/>
      <c r="H41" s="72"/>
      <c r="I41" s="72"/>
      <c r="J41" s="43"/>
      <c r="K41" s="43"/>
      <c r="L41" s="43"/>
      <c r="M41" s="43"/>
      <c r="N41" s="43"/>
      <c r="O41" s="43"/>
    </row>
    <row r="42" spans="1:15" ht="20.25" x14ac:dyDescent="0.2">
      <c r="A42" s="51"/>
      <c r="B42" s="51"/>
      <c r="C42" s="52"/>
      <c r="D42" s="52"/>
      <c r="E42" s="72"/>
      <c r="F42" s="72"/>
      <c r="G42" s="72"/>
      <c r="H42" s="72"/>
      <c r="I42" s="72"/>
      <c r="J42" s="43"/>
      <c r="K42" s="43"/>
      <c r="L42" s="43"/>
      <c r="M42" s="43"/>
      <c r="N42" s="43"/>
      <c r="O42" s="43"/>
    </row>
    <row r="43" spans="1:15" ht="20.25" x14ac:dyDescent="0.2">
      <c r="A43" s="51"/>
      <c r="B43" s="51"/>
      <c r="C43" s="52"/>
      <c r="D43" s="52"/>
      <c r="E43" s="72"/>
      <c r="F43" s="72"/>
      <c r="G43" s="72"/>
      <c r="H43" s="72"/>
      <c r="I43" s="72"/>
      <c r="J43" s="43"/>
      <c r="K43" s="43"/>
      <c r="L43" s="43"/>
      <c r="M43" s="43"/>
      <c r="N43" s="43"/>
      <c r="O43" s="43"/>
    </row>
    <row r="44" spans="1:15" ht="20.25" x14ac:dyDescent="0.2">
      <c r="A44" s="51"/>
      <c r="B44" s="51"/>
      <c r="C44" s="52"/>
      <c r="D44" s="52"/>
      <c r="E44" s="72"/>
      <c r="F44" s="72"/>
      <c r="G44" s="72"/>
      <c r="H44" s="72"/>
      <c r="I44" s="72"/>
      <c r="J44" s="43"/>
      <c r="K44" s="43"/>
      <c r="L44" s="43"/>
      <c r="M44" s="43"/>
      <c r="N44" s="43"/>
      <c r="O44" s="43"/>
    </row>
    <row r="45" spans="1:15" ht="20.25" x14ac:dyDescent="0.2">
      <c r="A45" s="51"/>
      <c r="B45" s="51"/>
      <c r="C45" s="52"/>
      <c r="D45" s="52"/>
      <c r="E45" s="72"/>
      <c r="F45" s="72"/>
      <c r="G45" s="72"/>
      <c r="H45" s="72"/>
      <c r="I45" s="72"/>
      <c r="J45" s="43"/>
      <c r="K45" s="43"/>
      <c r="L45" s="43"/>
      <c r="M45" s="43"/>
      <c r="N45" s="43"/>
      <c r="O45" s="43"/>
    </row>
    <row r="46" spans="1:15" ht="20.25" x14ac:dyDescent="0.2">
      <c r="A46" s="51"/>
      <c r="B46" s="51"/>
      <c r="C46" s="52"/>
      <c r="D46" s="52"/>
      <c r="E46" s="72"/>
      <c r="F46" s="72"/>
      <c r="G46" s="72"/>
      <c r="H46" s="72"/>
      <c r="I46" s="72"/>
      <c r="J46" s="43"/>
      <c r="K46" s="43"/>
      <c r="L46" s="43"/>
      <c r="M46" s="43"/>
      <c r="N46" s="43"/>
      <c r="O46" s="43"/>
    </row>
    <row r="47" spans="1:15" ht="20.25" x14ac:dyDescent="0.2">
      <c r="A47" s="51"/>
      <c r="B47" s="51"/>
      <c r="C47" s="52"/>
      <c r="D47" s="52"/>
      <c r="E47" s="72"/>
      <c r="F47" s="72"/>
      <c r="G47" s="72"/>
      <c r="H47" s="72"/>
      <c r="I47" s="72"/>
      <c r="J47" s="43"/>
      <c r="K47" s="43"/>
      <c r="L47" s="43"/>
      <c r="M47" s="43"/>
      <c r="N47" s="43"/>
      <c r="O47" s="43"/>
    </row>
    <row r="48" spans="1:15" ht="20.25" x14ac:dyDescent="0.2">
      <c r="A48" s="51"/>
      <c r="B48" s="51"/>
      <c r="C48" s="52"/>
      <c r="D48" s="52"/>
      <c r="E48" s="72"/>
      <c r="F48" s="72"/>
      <c r="G48" s="72"/>
      <c r="H48" s="72"/>
      <c r="I48" s="72"/>
      <c r="J48" s="43"/>
      <c r="K48" s="43"/>
      <c r="L48" s="43"/>
      <c r="M48" s="43"/>
      <c r="N48" s="43"/>
      <c r="O48" s="43"/>
    </row>
    <row r="49" spans="1:15" ht="20.25" x14ac:dyDescent="0.2">
      <c r="A49" s="51"/>
      <c r="B49" s="51"/>
      <c r="C49" s="52"/>
      <c r="D49" s="52"/>
      <c r="E49" s="72"/>
      <c r="F49" s="72"/>
      <c r="G49" s="72"/>
      <c r="H49" s="72"/>
      <c r="I49" s="72"/>
      <c r="J49" s="43"/>
      <c r="K49" s="43"/>
      <c r="L49" s="43"/>
      <c r="M49" s="43"/>
      <c r="N49" s="43"/>
      <c r="O49" s="43"/>
    </row>
    <row r="50" spans="1:15" ht="20.25" x14ac:dyDescent="0.2">
      <c r="A50" s="51"/>
      <c r="B50" s="51"/>
      <c r="C50" s="52"/>
      <c r="D50" s="52"/>
      <c r="E50" s="72"/>
      <c r="F50" s="72"/>
      <c r="G50" s="72"/>
      <c r="H50" s="72"/>
      <c r="I50" s="72"/>
      <c r="J50" s="43"/>
      <c r="K50" s="43"/>
      <c r="L50" s="43"/>
      <c r="M50" s="43"/>
      <c r="N50" s="43"/>
      <c r="O50" s="43"/>
    </row>
    <row r="51" spans="1:15" ht="20.25" x14ac:dyDescent="0.2">
      <c r="A51" s="51"/>
      <c r="B51" s="55"/>
      <c r="C51" s="56"/>
      <c r="D51" s="56"/>
    </row>
    <row r="52" spans="1:15" ht="20.25" x14ac:dyDescent="0.2">
      <c r="A52" s="51"/>
      <c r="B52" s="55"/>
      <c r="C52" s="56"/>
      <c r="D52" s="56"/>
    </row>
    <row r="53" spans="1:15" ht="20.25" x14ac:dyDescent="0.2">
      <c r="A53" s="51"/>
      <c r="B53" s="55"/>
      <c r="C53" s="56"/>
      <c r="D53" s="56"/>
    </row>
    <row r="54" spans="1:15" ht="20.25" x14ac:dyDescent="0.2">
      <c r="A54" s="51"/>
      <c r="B54" s="55"/>
      <c r="C54" s="56"/>
      <c r="D54" s="56"/>
    </row>
    <row r="55" spans="1:15" ht="20.25" x14ac:dyDescent="0.2">
      <c r="A55" s="51"/>
      <c r="B55" s="55"/>
      <c r="C55" s="56"/>
      <c r="D55" s="56"/>
    </row>
    <row r="56" spans="1:15" ht="20.25" x14ac:dyDescent="0.2">
      <c r="A56" s="51"/>
      <c r="B56" s="55"/>
      <c r="C56" s="56"/>
      <c r="D56" s="56"/>
    </row>
    <row r="57" spans="1:15" ht="20.25" x14ac:dyDescent="0.2">
      <c r="A57" s="51"/>
      <c r="B57" s="55"/>
      <c r="C57" s="56"/>
      <c r="D57" s="56"/>
    </row>
    <row r="58" spans="1:15" ht="20.25" x14ac:dyDescent="0.2">
      <c r="A58" s="51"/>
      <c r="B58" s="55"/>
      <c r="C58" s="56"/>
      <c r="D58" s="56"/>
    </row>
    <row r="59" spans="1:15" ht="20.25" x14ac:dyDescent="0.2">
      <c r="A59" s="51"/>
      <c r="B59" s="55"/>
      <c r="C59" s="56"/>
      <c r="D59" s="56"/>
    </row>
    <row r="60" spans="1:15" ht="20.25" x14ac:dyDescent="0.2">
      <c r="A60" s="51"/>
      <c r="B60" s="55"/>
      <c r="C60" s="56"/>
      <c r="D60" s="56"/>
    </row>
    <row r="61" spans="1:15" ht="20.25" x14ac:dyDescent="0.2">
      <c r="A61" s="51"/>
      <c r="B61" s="55"/>
      <c r="C61" s="56"/>
      <c r="D61" s="56"/>
    </row>
    <row r="62" spans="1:15" ht="20.25" x14ac:dyDescent="0.2">
      <c r="A62" s="51"/>
      <c r="B62" s="55"/>
      <c r="C62" s="56"/>
      <c r="D62" s="56"/>
    </row>
    <row r="63" spans="1:15" ht="20.25" x14ac:dyDescent="0.2">
      <c r="A63" s="51"/>
      <c r="B63" s="55"/>
      <c r="C63" s="56"/>
      <c r="D63" s="56"/>
    </row>
    <row r="64" spans="1:15" ht="20.25" x14ac:dyDescent="0.2">
      <c r="A64" s="51"/>
      <c r="B64" s="55"/>
      <c r="C64" s="56"/>
      <c r="D64" s="56"/>
    </row>
    <row r="65" spans="1:4" ht="20.25" x14ac:dyDescent="0.2">
      <c r="A65" s="51"/>
      <c r="B65" s="55"/>
      <c r="C65" s="56"/>
      <c r="D65" s="56"/>
    </row>
    <row r="66" spans="1:4" ht="20.25" x14ac:dyDescent="0.2">
      <c r="A66" s="51"/>
      <c r="B66" s="55"/>
      <c r="C66" s="56"/>
      <c r="D66" s="56"/>
    </row>
    <row r="67" spans="1:4" ht="20.25" x14ac:dyDescent="0.2">
      <c r="A67" s="51"/>
      <c r="B67" s="55"/>
      <c r="C67" s="56"/>
      <c r="D67" s="56"/>
    </row>
    <row r="68" spans="1:4" ht="20.25" x14ac:dyDescent="0.2">
      <c r="A68" s="51"/>
      <c r="B68" s="55"/>
      <c r="C68" s="56"/>
      <c r="D68" s="56"/>
    </row>
    <row r="69" spans="1:4" ht="20.25" x14ac:dyDescent="0.2">
      <c r="A69" s="51"/>
      <c r="B69" s="55"/>
      <c r="C69" s="56"/>
      <c r="D69" s="56"/>
    </row>
    <row r="70" spans="1:4" ht="20.25" x14ac:dyDescent="0.2">
      <c r="A70" s="51"/>
      <c r="B70" s="55"/>
      <c r="C70" s="56"/>
      <c r="D70" s="56"/>
    </row>
    <row r="71" spans="1:4" ht="20.25" x14ac:dyDescent="0.2">
      <c r="A71" s="51"/>
      <c r="B71" s="55"/>
      <c r="C71" s="56"/>
      <c r="D71" s="56"/>
    </row>
    <row r="72" spans="1:4" ht="20.25" x14ac:dyDescent="0.2">
      <c r="A72" s="51"/>
      <c r="B72" s="55"/>
      <c r="C72" s="56"/>
      <c r="D72" s="56"/>
    </row>
    <row r="73" spans="1:4" ht="20.25" x14ac:dyDescent="0.2">
      <c r="A73" s="51"/>
      <c r="B73" s="55"/>
      <c r="C73" s="56"/>
      <c r="D73" s="56"/>
    </row>
    <row r="74" spans="1:4" ht="20.25" x14ac:dyDescent="0.2">
      <c r="A74" s="51"/>
      <c r="B74" s="55"/>
      <c r="C74" s="56"/>
      <c r="D74" s="56"/>
    </row>
    <row r="75" spans="1:4" ht="20.25" x14ac:dyDescent="0.2">
      <c r="A75" s="51"/>
      <c r="B75" s="55"/>
      <c r="C75" s="56"/>
      <c r="D75" s="56"/>
    </row>
    <row r="76" spans="1:4" ht="20.25" x14ac:dyDescent="0.2">
      <c r="A76" s="51"/>
      <c r="B76" s="55"/>
      <c r="C76" s="56"/>
      <c r="D76" s="56"/>
    </row>
    <row r="77" spans="1:4" ht="20.25" x14ac:dyDescent="0.2">
      <c r="A77" s="51"/>
      <c r="B77" s="55"/>
      <c r="C77" s="56"/>
      <c r="D77" s="56"/>
    </row>
    <row r="78" spans="1:4" ht="20.25" x14ac:dyDescent="0.2">
      <c r="A78" s="51"/>
      <c r="B78" s="55"/>
      <c r="C78" s="56"/>
      <c r="D78" s="56"/>
    </row>
    <row r="79" spans="1:4" ht="20.25" x14ac:dyDescent="0.2">
      <c r="A79" s="51"/>
      <c r="B79" s="55"/>
      <c r="C79" s="56"/>
      <c r="D79" s="56"/>
    </row>
    <row r="80" spans="1:4" ht="20.25" x14ac:dyDescent="0.2">
      <c r="A80" s="51"/>
      <c r="B80" s="55"/>
      <c r="C80" s="56"/>
      <c r="D80" s="56"/>
    </row>
    <row r="81" spans="1:4" ht="20.25" x14ac:dyDescent="0.2">
      <c r="A81" s="51"/>
      <c r="B81" s="55"/>
      <c r="C81" s="56"/>
      <c r="D81" s="56"/>
    </row>
    <row r="82" spans="1:4" ht="20.25" x14ac:dyDescent="0.2">
      <c r="A82" s="51"/>
      <c r="B82" s="55"/>
      <c r="C82" s="56"/>
      <c r="D82" s="56"/>
    </row>
    <row r="83" spans="1:4" ht="20.25" x14ac:dyDescent="0.2">
      <c r="A83" s="51"/>
      <c r="B83" s="55"/>
      <c r="C83" s="56"/>
      <c r="D83" s="56"/>
    </row>
    <row r="84" spans="1:4" ht="20.25" x14ac:dyDescent="0.2">
      <c r="A84" s="51"/>
      <c r="B84" s="55"/>
      <c r="C84" s="56"/>
      <c r="D84" s="56"/>
    </row>
    <row r="85" spans="1:4" ht="20.25" x14ac:dyDescent="0.2">
      <c r="A85" s="51"/>
      <c r="B85" s="55"/>
      <c r="C85" s="56"/>
      <c r="D85" s="56"/>
    </row>
    <row r="86" spans="1:4" ht="20.25" x14ac:dyDescent="0.2">
      <c r="A86" s="51"/>
      <c r="B86" s="55"/>
      <c r="C86" s="56"/>
      <c r="D86" s="56"/>
    </row>
    <row r="87" spans="1:4" ht="20.25" x14ac:dyDescent="0.2">
      <c r="A87" s="51"/>
      <c r="B87" s="55"/>
      <c r="C87" s="56"/>
      <c r="D87" s="56"/>
    </row>
    <row r="88" spans="1:4" ht="20.25" x14ac:dyDescent="0.2">
      <c r="A88" s="51"/>
      <c r="B88" s="55"/>
      <c r="C88" s="56"/>
      <c r="D88" s="56"/>
    </row>
    <row r="89" spans="1:4" ht="20.25" x14ac:dyDescent="0.2">
      <c r="A89" s="51"/>
      <c r="B89" s="55"/>
      <c r="C89" s="56"/>
      <c r="D89" s="56"/>
    </row>
    <row r="90" spans="1:4" ht="20.25" x14ac:dyDescent="0.2">
      <c r="A90" s="51"/>
      <c r="B90" s="55"/>
      <c r="C90" s="56"/>
      <c r="D90" s="56"/>
    </row>
    <row r="91" spans="1:4" ht="20.25" x14ac:dyDescent="0.2">
      <c r="A91" s="51"/>
      <c r="B91" s="55"/>
      <c r="C91" s="56"/>
      <c r="D91" s="56"/>
    </row>
    <row r="92" spans="1:4" ht="20.25" x14ac:dyDescent="0.2">
      <c r="A92" s="51"/>
      <c r="B92" s="55"/>
      <c r="C92" s="56"/>
      <c r="D92" s="56"/>
    </row>
    <row r="93" spans="1:4" ht="20.25" x14ac:dyDescent="0.2">
      <c r="A93" s="51"/>
      <c r="B93" s="55"/>
      <c r="C93" s="56"/>
      <c r="D93" s="56"/>
    </row>
    <row r="94" spans="1:4" ht="20.25" x14ac:dyDescent="0.2">
      <c r="A94" s="51"/>
      <c r="B94" s="55"/>
      <c r="C94" s="56"/>
      <c r="D94" s="56"/>
    </row>
    <row r="95" spans="1:4" ht="20.25" x14ac:dyDescent="0.2">
      <c r="A95" s="51"/>
      <c r="B95" s="55"/>
      <c r="C95" s="56"/>
      <c r="D95" s="56"/>
    </row>
    <row r="96" spans="1:4" ht="20.25" x14ac:dyDescent="0.2">
      <c r="A96" s="51"/>
      <c r="B96" s="55"/>
      <c r="C96" s="56"/>
      <c r="D96" s="56"/>
    </row>
    <row r="97" spans="1:4" ht="20.25" x14ac:dyDescent="0.2">
      <c r="A97" s="51"/>
      <c r="B97" s="55"/>
      <c r="C97" s="56"/>
      <c r="D97" s="56"/>
    </row>
    <row r="98" spans="1:4" ht="20.25" x14ac:dyDescent="0.2">
      <c r="A98" s="51"/>
      <c r="B98" s="55"/>
      <c r="C98" s="56"/>
      <c r="D98" s="56"/>
    </row>
    <row r="99" spans="1:4" ht="20.25" x14ac:dyDescent="0.2">
      <c r="A99" s="51"/>
      <c r="B99" s="55"/>
      <c r="C99" s="56"/>
      <c r="D99" s="56"/>
    </row>
    <row r="100" spans="1:4" ht="20.25" x14ac:dyDescent="0.2">
      <c r="A100" s="51"/>
      <c r="B100" s="55"/>
      <c r="C100" s="56"/>
      <c r="D100" s="56"/>
    </row>
    <row r="101" spans="1:4" ht="20.25" x14ac:dyDescent="0.2">
      <c r="A101" s="51"/>
      <c r="B101" s="55"/>
      <c r="C101" s="56"/>
      <c r="D101" s="56"/>
    </row>
    <row r="102" spans="1:4" ht="20.25" x14ac:dyDescent="0.2">
      <c r="A102" s="51"/>
      <c r="B102" s="55"/>
      <c r="C102" s="56"/>
      <c r="D102" s="56"/>
    </row>
    <row r="103" spans="1:4" ht="20.25" x14ac:dyDescent="0.2">
      <c r="A103" s="51"/>
      <c r="B103" s="55"/>
      <c r="C103" s="56"/>
      <c r="D103" s="56"/>
    </row>
    <row r="104" spans="1:4" ht="20.25" x14ac:dyDescent="0.2">
      <c r="A104" s="51"/>
      <c r="B104" s="55"/>
      <c r="C104" s="56"/>
      <c r="D104" s="56"/>
    </row>
    <row r="105" spans="1:4" ht="20.25" x14ac:dyDescent="0.2">
      <c r="A105" s="51"/>
      <c r="B105" s="55"/>
      <c r="C105" s="56"/>
      <c r="D105" s="56"/>
    </row>
    <row r="106" spans="1:4" ht="20.25" x14ac:dyDescent="0.2">
      <c r="A106" s="51"/>
      <c r="B106" s="55"/>
      <c r="C106" s="56"/>
      <c r="D106" s="56"/>
    </row>
    <row r="107" spans="1:4" ht="20.25" x14ac:dyDescent="0.2">
      <c r="A107" s="51"/>
      <c r="B107" s="55"/>
      <c r="C107" s="56"/>
      <c r="D107" s="56"/>
    </row>
    <row r="108" spans="1:4" ht="20.25" x14ac:dyDescent="0.2">
      <c r="A108" s="51"/>
      <c r="B108" s="55"/>
      <c r="C108" s="56"/>
      <c r="D108" s="56"/>
    </row>
    <row r="109" spans="1:4" ht="20.25" x14ac:dyDescent="0.2">
      <c r="A109" s="51"/>
      <c r="B109" s="55"/>
      <c r="C109" s="56"/>
      <c r="D109" s="56"/>
    </row>
    <row r="110" spans="1:4" ht="20.25" x14ac:dyDescent="0.2">
      <c r="A110" s="51"/>
      <c r="B110" s="55"/>
      <c r="C110" s="56"/>
      <c r="D110" s="56"/>
    </row>
    <row r="111" spans="1:4" ht="20.25" x14ac:dyDescent="0.2">
      <c r="A111" s="51"/>
      <c r="B111" s="55"/>
      <c r="C111" s="56"/>
      <c r="D111" s="56"/>
    </row>
    <row r="112" spans="1:4" ht="20.25" x14ac:dyDescent="0.2">
      <c r="A112" s="51"/>
      <c r="B112" s="55"/>
      <c r="C112" s="56"/>
      <c r="D112" s="56"/>
    </row>
    <row r="113" spans="1:4" ht="20.25" x14ac:dyDescent="0.2">
      <c r="A113" s="51"/>
      <c r="B113" s="55"/>
      <c r="C113" s="56"/>
      <c r="D113" s="56"/>
    </row>
    <row r="114" spans="1:4" ht="20.25" x14ac:dyDescent="0.2">
      <c r="A114" s="51"/>
      <c r="B114" s="55"/>
      <c r="C114" s="56"/>
      <c r="D114" s="56"/>
    </row>
    <row r="115" spans="1:4" ht="20.25" x14ac:dyDescent="0.2">
      <c r="A115" s="51"/>
      <c r="B115" s="55"/>
      <c r="C115" s="56"/>
      <c r="D115" s="56"/>
    </row>
    <row r="116" spans="1:4" ht="20.25" x14ac:dyDescent="0.2">
      <c r="A116" s="51"/>
      <c r="B116" s="55"/>
      <c r="C116" s="56"/>
      <c r="D116" s="56"/>
    </row>
    <row r="117" spans="1:4" ht="20.25" x14ac:dyDescent="0.2">
      <c r="A117" s="51"/>
      <c r="B117" s="55"/>
      <c r="C117" s="56"/>
      <c r="D117" s="56"/>
    </row>
    <row r="118" spans="1:4" ht="20.25" x14ac:dyDescent="0.2">
      <c r="A118" s="51"/>
      <c r="B118" s="55"/>
      <c r="C118" s="56"/>
      <c r="D118" s="56"/>
    </row>
    <row r="119" spans="1:4" ht="20.25" x14ac:dyDescent="0.2">
      <c r="A119" s="51"/>
      <c r="B119" s="55"/>
      <c r="C119" s="56"/>
      <c r="D119" s="56"/>
    </row>
    <row r="120" spans="1:4" ht="20.25" x14ac:dyDescent="0.2">
      <c r="A120" s="51"/>
      <c r="B120" s="55"/>
      <c r="C120" s="56"/>
      <c r="D120" s="56"/>
    </row>
    <row r="121" spans="1:4" ht="20.25" x14ac:dyDescent="0.2">
      <c r="A121" s="51"/>
      <c r="B121" s="55"/>
      <c r="C121" s="56"/>
      <c r="D121" s="56"/>
    </row>
    <row r="122" spans="1:4" ht="20.25" x14ac:dyDescent="0.2">
      <c r="A122" s="51"/>
      <c r="B122" s="55"/>
      <c r="C122" s="56"/>
      <c r="D122" s="56"/>
    </row>
    <row r="123" spans="1:4" ht="20.25" x14ac:dyDescent="0.2">
      <c r="A123" s="51"/>
      <c r="B123" s="55"/>
      <c r="C123" s="56"/>
      <c r="D123" s="56"/>
    </row>
    <row r="124" spans="1:4" ht="20.25" x14ac:dyDescent="0.2">
      <c r="A124" s="51"/>
      <c r="B124" s="55"/>
      <c r="C124" s="56"/>
      <c r="D124" s="56"/>
    </row>
    <row r="125" spans="1:4" ht="20.25" x14ac:dyDescent="0.2">
      <c r="A125" s="51"/>
      <c r="B125" s="55"/>
      <c r="C125" s="56"/>
      <c r="D125" s="56"/>
    </row>
    <row r="126" spans="1:4" ht="20.25" x14ac:dyDescent="0.2">
      <c r="A126" s="51"/>
      <c r="B126" s="55"/>
      <c r="C126" s="56"/>
      <c r="D126" s="56"/>
    </row>
    <row r="127" spans="1:4" ht="20.25" x14ac:dyDescent="0.2">
      <c r="A127" s="51"/>
      <c r="B127" s="55"/>
      <c r="C127" s="56"/>
      <c r="D127" s="56"/>
    </row>
    <row r="128" spans="1:4" ht="20.25" x14ac:dyDescent="0.2">
      <c r="A128" s="51"/>
      <c r="B128" s="55"/>
      <c r="C128" s="56"/>
      <c r="D128" s="56"/>
    </row>
    <row r="129" spans="1:4" ht="20.25" x14ac:dyDescent="0.2">
      <c r="A129" s="51"/>
      <c r="B129" s="55"/>
      <c r="C129" s="56"/>
      <c r="D129" s="56"/>
    </row>
    <row r="130" spans="1:4" ht="20.25" x14ac:dyDescent="0.2">
      <c r="A130" s="51"/>
      <c r="B130" s="55"/>
      <c r="C130" s="56"/>
      <c r="D130" s="56"/>
    </row>
    <row r="131" spans="1:4" ht="20.25" x14ac:dyDescent="0.2">
      <c r="A131" s="51"/>
      <c r="B131" s="55"/>
      <c r="C131" s="56"/>
      <c r="D131" s="56"/>
    </row>
    <row r="132" spans="1:4" ht="20.25" x14ac:dyDescent="0.2">
      <c r="A132" s="51"/>
      <c r="B132" s="55"/>
      <c r="C132" s="56"/>
      <c r="D132" s="56"/>
    </row>
    <row r="133" spans="1:4" ht="20.25" x14ac:dyDescent="0.2">
      <c r="A133" s="51"/>
      <c r="B133" s="55"/>
      <c r="C133" s="56"/>
      <c r="D133" s="56"/>
    </row>
    <row r="134" spans="1:4" ht="20.25" x14ac:dyDescent="0.2">
      <c r="A134" s="51"/>
      <c r="B134" s="55"/>
      <c r="C134" s="56"/>
      <c r="D134" s="56"/>
    </row>
    <row r="135" spans="1:4" ht="20.25" x14ac:dyDescent="0.2">
      <c r="A135" s="51"/>
      <c r="B135" s="55"/>
      <c r="C135" s="56"/>
      <c r="D135" s="56"/>
    </row>
    <row r="136" spans="1:4" ht="20.25" x14ac:dyDescent="0.2">
      <c r="A136" s="51"/>
      <c r="B136" s="55"/>
      <c r="C136" s="56"/>
      <c r="D136" s="56"/>
    </row>
    <row r="137" spans="1:4" ht="20.25" x14ac:dyDescent="0.2">
      <c r="A137" s="51"/>
      <c r="B137" s="55"/>
      <c r="C137" s="56"/>
      <c r="D137" s="56"/>
    </row>
    <row r="138" spans="1:4" ht="20.25" x14ac:dyDescent="0.2">
      <c r="A138" s="51"/>
      <c r="B138" s="55"/>
      <c r="C138" s="56"/>
      <c r="D138" s="56"/>
    </row>
    <row r="139" spans="1:4" ht="20.25" x14ac:dyDescent="0.2">
      <c r="A139" s="51"/>
      <c r="B139" s="55"/>
      <c r="C139" s="56"/>
      <c r="D139" s="56"/>
    </row>
    <row r="140" spans="1:4" ht="20.25" x14ac:dyDescent="0.2">
      <c r="A140" s="51"/>
      <c r="B140" s="55"/>
      <c r="C140" s="56"/>
      <c r="D140" s="56"/>
    </row>
    <row r="141" spans="1:4" ht="20.25" x14ac:dyDescent="0.2">
      <c r="A141" s="51"/>
      <c r="B141" s="55"/>
      <c r="C141" s="56"/>
      <c r="D141" s="56"/>
    </row>
    <row r="142" spans="1:4" ht="20.25" x14ac:dyDescent="0.2">
      <c r="A142" s="51"/>
      <c r="B142" s="55"/>
      <c r="C142" s="56"/>
      <c r="D142" s="56"/>
    </row>
    <row r="143" spans="1:4" ht="20.25" x14ac:dyDescent="0.2">
      <c r="A143" s="51"/>
      <c r="B143" s="55"/>
      <c r="C143" s="56"/>
      <c r="D143" s="56"/>
    </row>
    <row r="144" spans="1:4" ht="20.25" x14ac:dyDescent="0.2">
      <c r="A144" s="51"/>
      <c r="B144" s="55"/>
      <c r="C144" s="56"/>
      <c r="D144" s="56"/>
    </row>
    <row r="145" spans="1:4" ht="20.25" x14ac:dyDescent="0.2">
      <c r="A145" s="51"/>
      <c r="B145" s="55"/>
      <c r="C145" s="56"/>
      <c r="D145" s="56"/>
    </row>
    <row r="146" spans="1:4" ht="20.25" x14ac:dyDescent="0.2">
      <c r="A146" s="51"/>
      <c r="B146" s="55"/>
      <c r="C146" s="56"/>
      <c r="D146" s="56"/>
    </row>
    <row r="147" spans="1:4" ht="20.25" x14ac:dyDescent="0.2">
      <c r="A147" s="51"/>
      <c r="B147" s="55"/>
      <c r="C147" s="56"/>
      <c r="D147" s="56"/>
    </row>
    <row r="148" spans="1:4" ht="20.25" x14ac:dyDescent="0.2">
      <c r="A148" s="51"/>
      <c r="B148" s="55"/>
      <c r="C148" s="56"/>
      <c r="D148" s="56"/>
    </row>
    <row r="149" spans="1:4" ht="20.25" x14ac:dyDescent="0.2">
      <c r="A149" s="51"/>
      <c r="B149" s="55"/>
      <c r="C149" s="56"/>
      <c r="D149" s="56"/>
    </row>
    <row r="150" spans="1:4" ht="20.25" x14ac:dyDescent="0.2">
      <c r="A150" s="51"/>
      <c r="B150" s="55"/>
      <c r="C150" s="56"/>
      <c r="D150" s="56"/>
    </row>
    <row r="151" spans="1:4" ht="20.25" x14ac:dyDescent="0.2">
      <c r="A151" s="51"/>
      <c r="B151" s="55"/>
      <c r="C151" s="56"/>
      <c r="D151" s="56"/>
    </row>
    <row r="152" spans="1:4" ht="20.25" x14ac:dyDescent="0.2">
      <c r="A152" s="51"/>
      <c r="B152" s="55"/>
      <c r="C152" s="56"/>
      <c r="D152" s="56"/>
    </row>
    <row r="153" spans="1:4" ht="20.25" x14ac:dyDescent="0.2">
      <c r="A153" s="51"/>
      <c r="B153" s="55"/>
      <c r="C153" s="56"/>
      <c r="D153" s="56"/>
    </row>
    <row r="154" spans="1:4" ht="20.25" x14ac:dyDescent="0.2">
      <c r="A154" s="51"/>
      <c r="B154" s="55"/>
      <c r="C154" s="56"/>
      <c r="D154" s="56"/>
    </row>
    <row r="155" spans="1:4" ht="20.25" x14ac:dyDescent="0.2">
      <c r="A155" s="51"/>
      <c r="B155" s="55"/>
      <c r="C155" s="56"/>
      <c r="D155" s="56"/>
    </row>
    <row r="156" spans="1:4" ht="20.25" x14ac:dyDescent="0.2">
      <c r="A156" s="51"/>
      <c r="B156" s="55"/>
      <c r="C156" s="56"/>
      <c r="D156" s="56"/>
    </row>
    <row r="157" spans="1:4" ht="20.25" x14ac:dyDescent="0.2">
      <c r="A157" s="51"/>
      <c r="B157" s="55"/>
      <c r="C157" s="56"/>
      <c r="D157" s="56"/>
    </row>
    <row r="158" spans="1:4" ht="20.25" x14ac:dyDescent="0.2">
      <c r="A158" s="51"/>
      <c r="B158" s="55"/>
      <c r="C158" s="56"/>
      <c r="D158" s="56"/>
    </row>
    <row r="159" spans="1:4" ht="20.25" x14ac:dyDescent="0.2">
      <c r="A159" s="51"/>
      <c r="B159" s="55"/>
      <c r="C159" s="56"/>
      <c r="D159" s="56"/>
    </row>
    <row r="160" spans="1:4" ht="20.25" x14ac:dyDescent="0.2">
      <c r="A160" s="51"/>
      <c r="B160" s="55"/>
      <c r="C160" s="56"/>
      <c r="D160" s="56"/>
    </row>
    <row r="161" spans="1:4" ht="20.25" x14ac:dyDescent="0.2">
      <c r="A161" s="51"/>
      <c r="B161" s="55"/>
      <c r="C161" s="56"/>
      <c r="D161" s="56"/>
    </row>
    <row r="162" spans="1:4" ht="20.25" x14ac:dyDescent="0.2">
      <c r="A162" s="51"/>
      <c r="B162" s="55"/>
      <c r="C162" s="56"/>
      <c r="D162" s="56"/>
    </row>
    <row r="163" spans="1:4" ht="20.25" x14ac:dyDescent="0.2">
      <c r="A163" s="51"/>
      <c r="B163" s="55"/>
      <c r="C163" s="56"/>
      <c r="D163" s="56"/>
    </row>
    <row r="164" spans="1:4" ht="20.25" x14ac:dyDescent="0.2">
      <c r="A164" s="51"/>
      <c r="B164" s="55"/>
      <c r="C164" s="56"/>
      <c r="D164" s="56"/>
    </row>
    <row r="165" spans="1:4" ht="20.25" x14ac:dyDescent="0.2">
      <c r="A165" s="51"/>
      <c r="B165" s="55"/>
      <c r="C165" s="56"/>
      <c r="D165" s="56"/>
    </row>
    <row r="166" spans="1:4" ht="20.25" x14ac:dyDescent="0.2">
      <c r="A166" s="51"/>
      <c r="B166" s="55"/>
      <c r="C166" s="56"/>
      <c r="D166" s="56"/>
    </row>
    <row r="167" spans="1:4" ht="20.25" x14ac:dyDescent="0.2">
      <c r="A167" s="51"/>
      <c r="B167" s="55"/>
      <c r="C167" s="56"/>
      <c r="D167" s="56"/>
    </row>
    <row r="168" spans="1:4" ht="20.25" x14ac:dyDescent="0.2">
      <c r="A168" s="51"/>
      <c r="B168" s="55"/>
      <c r="C168" s="56"/>
      <c r="D168" s="56"/>
    </row>
    <row r="169" spans="1:4" ht="20.25" x14ac:dyDescent="0.2">
      <c r="A169" s="51"/>
      <c r="B169" s="55"/>
      <c r="C169" s="56"/>
      <c r="D169" s="56"/>
    </row>
    <row r="170" spans="1:4" ht="20.25" x14ac:dyDescent="0.2">
      <c r="A170" s="51"/>
      <c r="B170" s="55"/>
      <c r="C170" s="56"/>
      <c r="D170" s="56"/>
    </row>
    <row r="171" spans="1:4" ht="20.25" x14ac:dyDescent="0.2">
      <c r="A171" s="51"/>
      <c r="B171" s="55"/>
      <c r="C171" s="56"/>
      <c r="D171" s="56"/>
    </row>
    <row r="172" spans="1:4" ht="20.25" x14ac:dyDescent="0.2">
      <c r="A172" s="51"/>
      <c r="B172" s="55"/>
      <c r="C172" s="56"/>
      <c r="D172" s="56"/>
    </row>
    <row r="173" spans="1:4" ht="20.25" x14ac:dyDescent="0.2">
      <c r="A173" s="51"/>
      <c r="B173" s="55"/>
      <c r="C173" s="56"/>
      <c r="D173" s="56"/>
    </row>
    <row r="174" spans="1:4" ht="20.25" x14ac:dyDescent="0.2">
      <c r="A174" s="51"/>
      <c r="B174" s="55"/>
      <c r="C174" s="56"/>
      <c r="D174" s="56"/>
    </row>
    <row r="175" spans="1:4" ht="20.25" x14ac:dyDescent="0.2">
      <c r="A175" s="51"/>
      <c r="B175" s="55"/>
      <c r="C175" s="56"/>
      <c r="D175" s="56"/>
    </row>
    <row r="176" spans="1:4" ht="20.25" x14ac:dyDescent="0.2">
      <c r="A176" s="51"/>
      <c r="B176" s="55"/>
      <c r="C176" s="56"/>
      <c r="D176" s="56"/>
    </row>
    <row r="177" spans="1:4" ht="20.25" x14ac:dyDescent="0.2">
      <c r="A177" s="51"/>
      <c r="B177" s="55"/>
      <c r="C177" s="56"/>
      <c r="D177" s="56"/>
    </row>
    <row r="178" spans="1:4" ht="20.25" x14ac:dyDescent="0.2">
      <c r="A178" s="51"/>
      <c r="B178" s="55"/>
      <c r="C178" s="56"/>
      <c r="D178" s="56"/>
    </row>
    <row r="179" spans="1:4" ht="20.25" x14ac:dyDescent="0.2">
      <c r="A179" s="51"/>
      <c r="B179" s="55"/>
      <c r="C179" s="56"/>
      <c r="D179" s="56"/>
    </row>
    <row r="180" spans="1:4" ht="20.25" x14ac:dyDescent="0.2">
      <c r="A180" s="51"/>
      <c r="B180" s="55"/>
      <c r="C180" s="56"/>
      <c r="D180" s="56"/>
    </row>
    <row r="181" spans="1:4" ht="20.25" x14ac:dyDescent="0.2">
      <c r="A181" s="51"/>
      <c r="B181" s="55"/>
      <c r="C181" s="56"/>
      <c r="D181" s="56"/>
    </row>
    <row r="182" spans="1:4" ht="20.25" x14ac:dyDescent="0.2">
      <c r="A182" s="51"/>
      <c r="B182" s="55"/>
      <c r="C182" s="56"/>
      <c r="D182" s="56"/>
    </row>
    <row r="183" spans="1:4" ht="20.25" x14ac:dyDescent="0.2">
      <c r="A183" s="51"/>
      <c r="B183" s="55"/>
      <c r="C183" s="56"/>
      <c r="D183" s="56"/>
    </row>
    <row r="184" spans="1:4" ht="20.25" x14ac:dyDescent="0.2">
      <c r="A184" s="51"/>
      <c r="B184" s="55"/>
      <c r="C184" s="56"/>
      <c r="D184" s="56"/>
    </row>
    <row r="185" spans="1:4" ht="20.25" x14ac:dyDescent="0.2">
      <c r="A185" s="51"/>
      <c r="B185" s="55"/>
      <c r="C185" s="56"/>
      <c r="D185" s="56"/>
    </row>
    <row r="186" spans="1:4" ht="20.25" x14ac:dyDescent="0.2">
      <c r="A186" s="51"/>
      <c r="B186" s="55"/>
      <c r="C186" s="56"/>
      <c r="D186" s="56"/>
    </row>
    <row r="187" spans="1:4" ht="20.25" x14ac:dyDescent="0.2">
      <c r="A187" s="51"/>
      <c r="B187" s="55"/>
      <c r="C187" s="56"/>
      <c r="D187" s="56"/>
    </row>
    <row r="188" spans="1:4" ht="20.25" x14ac:dyDescent="0.2">
      <c r="A188" s="51"/>
      <c r="B188" s="55"/>
      <c r="C188" s="56"/>
      <c r="D188" s="56"/>
    </row>
    <row r="189" spans="1:4" ht="20.25" x14ac:dyDescent="0.2">
      <c r="A189" s="51"/>
      <c r="B189" s="55"/>
      <c r="C189" s="56"/>
      <c r="D189" s="56"/>
    </row>
    <row r="190" spans="1:4" ht="20.25" x14ac:dyDescent="0.2">
      <c r="A190" s="51"/>
      <c r="B190" s="55"/>
      <c r="C190" s="56"/>
      <c r="D190" s="56"/>
    </row>
    <row r="191" spans="1:4" ht="20.25" x14ac:dyDescent="0.2">
      <c r="A191" s="51"/>
      <c r="B191" s="55"/>
      <c r="C191" s="56"/>
      <c r="D191" s="56"/>
    </row>
    <row r="192" spans="1:4" ht="20.25" x14ac:dyDescent="0.2">
      <c r="A192" s="51"/>
      <c r="B192" s="55"/>
      <c r="C192" s="56"/>
      <c r="D192" s="56"/>
    </row>
    <row r="193" spans="1:5" ht="20.25" x14ac:dyDescent="0.2">
      <c r="A193" s="51"/>
      <c r="B193" s="55"/>
      <c r="C193" s="56"/>
      <c r="D193" s="56"/>
    </row>
    <row r="194" spans="1:5" ht="20.25" x14ac:dyDescent="0.2">
      <c r="A194" s="51"/>
      <c r="B194" s="55"/>
      <c r="C194" s="56"/>
      <c r="D194" s="56"/>
    </row>
    <row r="195" spans="1:5" ht="20.25" x14ac:dyDescent="0.2">
      <c r="A195" s="51"/>
      <c r="B195" s="55"/>
      <c r="C195" s="56"/>
      <c r="D195" s="56"/>
    </row>
    <row r="196" spans="1:5" ht="20.25" x14ac:dyDescent="0.2">
      <c r="A196" s="51"/>
      <c r="B196" s="55"/>
      <c r="C196" s="56"/>
      <c r="D196" s="56"/>
    </row>
    <row r="197" spans="1:5" ht="20.25" x14ac:dyDescent="0.2">
      <c r="A197" s="51"/>
      <c r="B197" s="55"/>
      <c r="C197" s="56"/>
      <c r="D197" s="56"/>
    </row>
    <row r="198" spans="1:5" ht="20.25" x14ac:dyDescent="0.2">
      <c r="A198" s="51"/>
      <c r="B198" s="55"/>
      <c r="C198" s="56"/>
      <c r="D198" s="56"/>
    </row>
    <row r="199" spans="1:5" ht="20.25" x14ac:dyDescent="0.2">
      <c r="A199" s="51"/>
      <c r="B199" s="55"/>
      <c r="C199" s="56"/>
      <c r="D199" s="56"/>
    </row>
    <row r="200" spans="1:5" ht="20.25" x14ac:dyDescent="0.2">
      <c r="A200" s="51"/>
      <c r="B200" s="55"/>
      <c r="C200" s="56"/>
      <c r="D200" s="56"/>
    </row>
    <row r="201" spans="1:5" ht="20.25" x14ac:dyDescent="0.2">
      <c r="A201" s="51"/>
      <c r="B201" s="55"/>
      <c r="C201" s="56"/>
      <c r="D201" s="56"/>
    </row>
    <row r="202" spans="1:5" ht="20.25" x14ac:dyDescent="0.2">
      <c r="A202" s="51"/>
      <c r="B202" s="55"/>
      <c r="C202" s="56"/>
      <c r="D202" s="56"/>
    </row>
    <row r="203" spans="1:5" ht="20.25" x14ac:dyDescent="0.2">
      <c r="A203" s="51"/>
      <c r="B203" s="55"/>
      <c r="C203" s="56"/>
      <c r="D203" s="56"/>
    </row>
    <row r="204" spans="1:5" ht="20.25" x14ac:dyDescent="0.2">
      <c r="A204" s="51"/>
      <c r="B204" s="55"/>
      <c r="C204" s="56"/>
      <c r="D204" s="56"/>
    </row>
    <row r="205" spans="1:5" ht="20.25" x14ac:dyDescent="0.2">
      <c r="A205" s="51"/>
      <c r="B205" s="55"/>
      <c r="C205" s="56"/>
      <c r="D205" s="56"/>
    </row>
    <row r="206" spans="1:5" ht="20.25" x14ac:dyDescent="0.2">
      <c r="A206" s="51"/>
      <c r="B206" s="55"/>
      <c r="C206" s="56"/>
      <c r="D206" s="56"/>
    </row>
    <row r="207" spans="1:5" x14ac:dyDescent="0.2">
      <c r="A207" s="43"/>
      <c r="B207" s="55"/>
      <c r="C207" s="55"/>
      <c r="D207" s="55"/>
    </row>
    <row r="208" spans="1:5" ht="20.25" x14ac:dyDescent="0.25">
      <c r="A208" s="43"/>
      <c r="B208" s="57" t="s">
        <v>123</v>
      </c>
      <c r="C208" s="57" t="s">
        <v>124</v>
      </c>
      <c r="D208" s="58" t="s">
        <v>123</v>
      </c>
      <c r="E208" s="74" t="s">
        <v>124</v>
      </c>
    </row>
    <row r="209" spans="1:8" ht="44.25" x14ac:dyDescent="0.3">
      <c r="A209" s="43"/>
      <c r="B209" s="59" t="s">
        <v>125</v>
      </c>
      <c r="C209" s="59" t="s">
        <v>126</v>
      </c>
      <c r="D209" s="44" t="s">
        <v>125</v>
      </c>
      <c r="F209" s="73" t="str">
        <f>IF(NOT(ISBLANK(D209)),D209,IF(NOT(ISBLANK(E209)),"     "&amp;E209,FALSE))</f>
        <v>Afectación Económica o presupuestal</v>
      </c>
      <c r="G209" s="73" t="s">
        <v>125</v>
      </c>
      <c r="H209" s="73" t="str">
        <f>IF(NOT(ISERROR(MATCH(G209,_xlfn.ANCHORARRAY(B220),0))),F222&amp;"Por favor no seleccionar los criterios de impacto",G209)</f>
        <v>❌Por favor no seleccionar los criterios de impacto</v>
      </c>
    </row>
    <row r="210" spans="1:8" ht="44.25" x14ac:dyDescent="0.3">
      <c r="A210" s="43"/>
      <c r="B210" s="59" t="s">
        <v>125</v>
      </c>
      <c r="C210" s="59" t="s">
        <v>127</v>
      </c>
      <c r="E210" s="73" t="s">
        <v>126</v>
      </c>
      <c r="F210" s="73" t="str">
        <f t="shared" ref="F210:F220" si="0">IF(NOT(ISBLANK(D210)),D210,IF(NOT(ISBLANK(E210)),"     "&amp;E210,FALSE))</f>
        <v xml:space="preserve">     Afectación menor a 10 SMLMV .</v>
      </c>
    </row>
    <row r="211" spans="1:8" ht="30" x14ac:dyDescent="0.3">
      <c r="A211" s="43"/>
      <c r="B211" s="59" t="s">
        <v>125</v>
      </c>
      <c r="C211" s="59" t="s">
        <v>128</v>
      </c>
      <c r="E211" s="73" t="s">
        <v>127</v>
      </c>
      <c r="F211" s="73" t="str">
        <f t="shared" si="0"/>
        <v xml:space="preserve">     Entre 10 y 50 SMLMV </v>
      </c>
    </row>
    <row r="212" spans="1:8" ht="30" x14ac:dyDescent="0.3">
      <c r="A212" s="43"/>
      <c r="B212" s="59" t="s">
        <v>125</v>
      </c>
      <c r="C212" s="59" t="s">
        <v>129</v>
      </c>
      <c r="E212" s="73" t="s">
        <v>128</v>
      </c>
      <c r="F212" s="73" t="str">
        <f t="shared" si="0"/>
        <v xml:space="preserve">     Entre 50 y 100 SMLMV </v>
      </c>
    </row>
    <row r="213" spans="1:8" ht="30" x14ac:dyDescent="0.3">
      <c r="A213" s="43"/>
      <c r="B213" s="59" t="s">
        <v>125</v>
      </c>
      <c r="C213" s="59" t="s">
        <v>130</v>
      </c>
      <c r="E213" s="73" t="s">
        <v>129</v>
      </c>
      <c r="F213" s="73" t="str">
        <f t="shared" si="0"/>
        <v xml:space="preserve">     Entre 100 y 500 SMLMV </v>
      </c>
    </row>
    <row r="214" spans="1:8" ht="30" x14ac:dyDescent="0.3">
      <c r="A214" s="43"/>
      <c r="B214" s="59" t="s">
        <v>131</v>
      </c>
      <c r="C214" s="59" t="s">
        <v>132</v>
      </c>
      <c r="E214" s="73" t="s">
        <v>130</v>
      </c>
      <c r="F214" s="73" t="str">
        <f t="shared" si="0"/>
        <v xml:space="preserve">     Mayor a 500 SMLMV </v>
      </c>
    </row>
    <row r="215" spans="1:8" ht="20.25" x14ac:dyDescent="0.3">
      <c r="A215" s="43"/>
      <c r="B215" s="59" t="s">
        <v>131</v>
      </c>
      <c r="C215" s="59" t="s">
        <v>133</v>
      </c>
      <c r="D215" s="44" t="s">
        <v>131</v>
      </c>
      <c r="F215" s="73" t="str">
        <f t="shared" si="0"/>
        <v>Pérdida Reputacional</v>
      </c>
    </row>
    <row r="216" spans="1:8" ht="87" x14ac:dyDescent="0.3">
      <c r="A216" s="43"/>
      <c r="B216" s="59" t="s">
        <v>131</v>
      </c>
      <c r="C216" s="59" t="s">
        <v>134</v>
      </c>
      <c r="E216" s="73" t="s">
        <v>132</v>
      </c>
      <c r="F216" s="73" t="str">
        <f t="shared" si="0"/>
        <v xml:space="preserve">     El riesgo afecta la imagen de alguna área de la organización</v>
      </c>
    </row>
    <row r="217" spans="1:8" ht="186.75" x14ac:dyDescent="0.3">
      <c r="A217" s="43"/>
      <c r="B217" s="59" t="s">
        <v>131</v>
      </c>
      <c r="C217" s="59" t="s">
        <v>135</v>
      </c>
      <c r="E217" s="73" t="s">
        <v>133</v>
      </c>
      <c r="F217" s="73" t="str">
        <f t="shared" si="0"/>
        <v xml:space="preserve">     El riesgo afecta la imagen de la entidad internamente, de conocimiento general, nivel interno, de junta dircetiva y accionistas y/o de provedores</v>
      </c>
    </row>
    <row r="218" spans="1:8" ht="144" x14ac:dyDescent="0.3">
      <c r="A218" s="43"/>
      <c r="B218" s="59" t="s">
        <v>131</v>
      </c>
      <c r="C218" s="59" t="s">
        <v>136</v>
      </c>
      <c r="E218" s="73" t="s">
        <v>134</v>
      </c>
      <c r="F218" s="73" t="str">
        <f t="shared" si="0"/>
        <v xml:space="preserve">     El riesgo afecta la imagen de la entidad con algunos usuarios de relevancia frente al logro de los objetivos</v>
      </c>
    </row>
    <row r="219" spans="1:8" ht="185.25" x14ac:dyDescent="0.2">
      <c r="A219" s="43"/>
      <c r="B219" s="60"/>
      <c r="C219" s="60"/>
      <c r="E219" s="73" t="s">
        <v>135</v>
      </c>
      <c r="F219" s="73" t="str">
        <f t="shared" si="0"/>
        <v xml:space="preserve">     El riesgo afecta la imagen de de la entidad con efecto publicitario sostenido a nivel de sector administrativo, nivel departamental o municipal</v>
      </c>
    </row>
    <row r="220" spans="1:8" ht="128.25" x14ac:dyDescent="0.2">
      <c r="A220" s="43"/>
      <c r="B220" s="60" t="str" cm="1">
        <f t="array" ref="B220:B222">_xlfn.UNIQUE(Tabla1[[#All],[Criterios]])</f>
        <v>Criterios</v>
      </c>
      <c r="C220" s="60"/>
      <c r="E220" s="73" t="s">
        <v>136</v>
      </c>
      <c r="F220" s="73" t="str">
        <f t="shared" si="0"/>
        <v xml:space="preserve">     El riesgo afecta la imagen de la entidad a nivel nacional, con efecto publicitarios sostenible a nivel país</v>
      </c>
    </row>
    <row r="221" spans="1:8" x14ac:dyDescent="0.2">
      <c r="A221" s="43"/>
      <c r="B221" s="60" t="str">
        <v>Afectación Económica o presupuestal</v>
      </c>
      <c r="C221" s="60"/>
    </row>
    <row r="222" spans="1:8" x14ac:dyDescent="0.2">
      <c r="B222" s="60" t="str">
        <v>Pérdida Reputacional</v>
      </c>
      <c r="C222" s="60"/>
      <c r="F222" s="75" t="s">
        <v>137</v>
      </c>
    </row>
    <row r="223" spans="1:8" x14ac:dyDescent="0.2">
      <c r="B223" s="61"/>
      <c r="C223" s="61"/>
      <c r="F223" s="75" t="s">
        <v>138</v>
      </c>
    </row>
    <row r="224" spans="1:8" x14ac:dyDescent="0.2">
      <c r="B224" s="61"/>
      <c r="C224" s="61"/>
    </row>
    <row r="225" spans="2:4" x14ac:dyDescent="0.2">
      <c r="B225" s="61"/>
      <c r="C225" s="61"/>
    </row>
    <row r="226" spans="2:4" x14ac:dyDescent="0.2">
      <c r="B226" s="61"/>
      <c r="C226" s="61"/>
      <c r="D226" s="61"/>
    </row>
    <row r="227" spans="2:4" x14ac:dyDescent="0.2">
      <c r="B227" s="61"/>
      <c r="C227" s="61"/>
      <c r="D227" s="61"/>
    </row>
    <row r="228" spans="2:4" x14ac:dyDescent="0.2">
      <c r="B228" s="61"/>
      <c r="C228" s="61"/>
      <c r="D228" s="61"/>
    </row>
    <row r="229" spans="2:4" x14ac:dyDescent="0.2">
      <c r="B229" s="61"/>
      <c r="C229" s="61"/>
      <c r="D229" s="61"/>
    </row>
    <row r="230" spans="2:4" x14ac:dyDescent="0.2">
      <c r="B230" s="61"/>
      <c r="C230" s="61"/>
      <c r="D230" s="61"/>
    </row>
    <row r="231" spans="2:4" x14ac:dyDescent="0.2">
      <c r="B231" s="61"/>
      <c r="C231" s="61"/>
      <c r="D231" s="61"/>
    </row>
  </sheetData>
  <mergeCells count="11">
    <mergeCell ref="B2:D2"/>
    <mergeCell ref="E33:H33"/>
    <mergeCell ref="G6:H6"/>
    <mergeCell ref="F6:F7"/>
    <mergeCell ref="E6:E7"/>
    <mergeCell ref="E27:H27"/>
    <mergeCell ref="E28:H28"/>
    <mergeCell ref="E29:H29"/>
    <mergeCell ref="E30:H30"/>
    <mergeCell ref="E31:H31"/>
    <mergeCell ref="E32:H32"/>
  </mergeCells>
  <dataValidations disablePrompts="1" count="1">
    <dataValidation type="list" allowBlank="1" showInputMessage="1" showErrorMessage="1" sqref="G209" xr:uid="{00000000-0002-0000-0500-000000000000}">
      <formula1>$F$209:$F$220</formula1>
    </dataValidation>
  </dataValidations>
  <pageMargins left="0.7" right="0.7" top="0.75" bottom="0.75" header="0.3" footer="0.3"/>
  <pageSetup orientation="portrait"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17"/>
  <sheetViews>
    <sheetView workbookViewId="0">
      <selection activeCell="E7" sqref="E7:F7"/>
    </sheetView>
  </sheetViews>
  <sheetFormatPr baseColWidth="10" defaultColWidth="14.28515625" defaultRowHeight="12.75" x14ac:dyDescent="0.2"/>
  <cols>
    <col min="1" max="2" width="14.28515625" style="62"/>
    <col min="3" max="3" width="19.5703125" style="62" customWidth="1"/>
    <col min="4" max="4" width="17.28515625" style="62" customWidth="1"/>
    <col min="5" max="5" width="46" style="62" customWidth="1"/>
    <col min="6" max="16384" width="14.28515625" style="62"/>
  </cols>
  <sheetData>
    <row r="1" spans="2:6" ht="13.5" thickBot="1" x14ac:dyDescent="0.25"/>
    <row r="2" spans="2:6" ht="24" customHeight="1" thickBot="1" x14ac:dyDescent="0.25">
      <c r="B2" s="363" t="s">
        <v>139</v>
      </c>
      <c r="C2" s="364"/>
      <c r="D2" s="364"/>
      <c r="E2" s="364"/>
      <c r="F2" s="365"/>
    </row>
    <row r="3" spans="2:6" ht="15.75" thickBot="1" x14ac:dyDescent="0.25">
      <c r="B3" s="63"/>
      <c r="C3" s="63"/>
      <c r="D3" s="63"/>
      <c r="E3" s="63"/>
      <c r="F3" s="63"/>
    </row>
    <row r="4" spans="2:6" ht="15.75" x14ac:dyDescent="0.2">
      <c r="B4" s="367" t="s">
        <v>140</v>
      </c>
      <c r="C4" s="368"/>
      <c r="D4" s="368"/>
      <c r="E4" s="97" t="s">
        <v>141</v>
      </c>
      <c r="F4" s="98" t="s">
        <v>142</v>
      </c>
    </row>
    <row r="5" spans="2:6" ht="30" x14ac:dyDescent="0.2">
      <c r="B5" s="369" t="s">
        <v>143</v>
      </c>
      <c r="C5" s="370" t="s">
        <v>34</v>
      </c>
      <c r="D5" s="95" t="s">
        <v>144</v>
      </c>
      <c r="E5" s="96" t="s">
        <v>145</v>
      </c>
      <c r="F5" s="99">
        <v>0.25</v>
      </c>
    </row>
    <row r="6" spans="2:6" ht="45" x14ac:dyDescent="0.2">
      <c r="B6" s="369"/>
      <c r="C6" s="370"/>
      <c r="D6" s="95" t="s">
        <v>146</v>
      </c>
      <c r="E6" s="96" t="s">
        <v>147</v>
      </c>
      <c r="F6" s="99">
        <v>0.15</v>
      </c>
    </row>
    <row r="7" spans="2:6" ht="45" x14ac:dyDescent="0.2">
      <c r="B7" s="369"/>
      <c r="C7" s="370"/>
      <c r="D7" s="95" t="s">
        <v>148</v>
      </c>
      <c r="E7" s="96" t="s">
        <v>213</v>
      </c>
      <c r="F7" s="104">
        <v>0.1</v>
      </c>
    </row>
    <row r="8" spans="2:6" ht="75" x14ac:dyDescent="0.2">
      <c r="B8" s="369"/>
      <c r="C8" s="370" t="s">
        <v>35</v>
      </c>
      <c r="D8" s="95" t="s">
        <v>150</v>
      </c>
      <c r="E8" s="96" t="s">
        <v>151</v>
      </c>
      <c r="F8" s="99">
        <v>0.25</v>
      </c>
    </row>
    <row r="9" spans="2:6" ht="30" x14ac:dyDescent="0.2">
      <c r="B9" s="369"/>
      <c r="C9" s="370"/>
      <c r="D9" s="95" t="s">
        <v>152</v>
      </c>
      <c r="E9" s="96" t="s">
        <v>153</v>
      </c>
      <c r="F9" s="99">
        <v>0.15</v>
      </c>
    </row>
    <row r="10" spans="2:6" ht="60" x14ac:dyDescent="0.2">
      <c r="B10" s="369" t="s">
        <v>154</v>
      </c>
      <c r="C10" s="370" t="s">
        <v>37</v>
      </c>
      <c r="D10" s="95" t="s">
        <v>155</v>
      </c>
      <c r="E10" s="96" t="s">
        <v>156</v>
      </c>
      <c r="F10" s="100" t="s">
        <v>149</v>
      </c>
    </row>
    <row r="11" spans="2:6" ht="60" x14ac:dyDescent="0.2">
      <c r="B11" s="369"/>
      <c r="C11" s="370"/>
      <c r="D11" s="95" t="s">
        <v>157</v>
      </c>
      <c r="E11" s="96" t="s">
        <v>158</v>
      </c>
      <c r="F11" s="100" t="s">
        <v>149</v>
      </c>
    </row>
    <row r="12" spans="2:6" ht="45" x14ac:dyDescent="0.2">
      <c r="B12" s="369"/>
      <c r="C12" s="370" t="s">
        <v>38</v>
      </c>
      <c r="D12" s="95" t="s">
        <v>159</v>
      </c>
      <c r="E12" s="96" t="s">
        <v>160</v>
      </c>
      <c r="F12" s="100" t="s">
        <v>149</v>
      </c>
    </row>
    <row r="13" spans="2:6" ht="45" x14ac:dyDescent="0.2">
      <c r="B13" s="369"/>
      <c r="C13" s="370"/>
      <c r="D13" s="95" t="s">
        <v>161</v>
      </c>
      <c r="E13" s="96" t="s">
        <v>162</v>
      </c>
      <c r="F13" s="100" t="s">
        <v>149</v>
      </c>
    </row>
    <row r="14" spans="2:6" ht="30" x14ac:dyDescent="0.2">
      <c r="B14" s="369"/>
      <c r="C14" s="370" t="s">
        <v>39</v>
      </c>
      <c r="D14" s="95" t="s">
        <v>163</v>
      </c>
      <c r="E14" s="96" t="s">
        <v>164</v>
      </c>
      <c r="F14" s="100" t="s">
        <v>149</v>
      </c>
    </row>
    <row r="15" spans="2:6" ht="30.75" thickBot="1" x14ac:dyDescent="0.25">
      <c r="B15" s="371"/>
      <c r="C15" s="372"/>
      <c r="D15" s="101" t="s">
        <v>165</v>
      </c>
      <c r="E15" s="102" t="s">
        <v>166</v>
      </c>
      <c r="F15" s="103" t="s">
        <v>149</v>
      </c>
    </row>
    <row r="16" spans="2:6" ht="49.5" customHeight="1" x14ac:dyDescent="0.2">
      <c r="B16" s="366" t="s">
        <v>167</v>
      </c>
      <c r="C16" s="366"/>
      <c r="D16" s="366"/>
      <c r="E16" s="366"/>
      <c r="F16" s="366"/>
    </row>
    <row r="17" spans="2:2" ht="27" customHeight="1" x14ac:dyDescent="0.2">
      <c r="B17" s="64"/>
    </row>
  </sheetData>
  <mergeCells count="10">
    <mergeCell ref="B2:F2"/>
    <mergeCell ref="B16:F16"/>
    <mergeCell ref="B4:D4"/>
    <mergeCell ref="B5:B9"/>
    <mergeCell ref="C5:C7"/>
    <mergeCell ref="C8:C9"/>
    <mergeCell ref="B10:B15"/>
    <mergeCell ref="C10:C11"/>
    <mergeCell ref="C12:C13"/>
    <mergeCell ref="C14:C1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E19"/>
  <sheetViews>
    <sheetView workbookViewId="0">
      <selection activeCell="D11" sqref="D11"/>
    </sheetView>
  </sheetViews>
  <sheetFormatPr baseColWidth="10" defaultColWidth="11.42578125" defaultRowHeight="15" x14ac:dyDescent="0.25"/>
  <sheetData>
    <row r="2" spans="2:5" x14ac:dyDescent="0.25">
      <c r="E2" t="s">
        <v>168</v>
      </c>
    </row>
    <row r="3" spans="2:5" x14ac:dyDescent="0.25">
      <c r="B3" t="s">
        <v>169</v>
      </c>
      <c r="E3" t="s">
        <v>170</v>
      </c>
    </row>
    <row r="4" spans="2:5" x14ac:dyDescent="0.25">
      <c r="B4" t="s">
        <v>171</v>
      </c>
      <c r="E4" t="s">
        <v>172</v>
      </c>
    </row>
    <row r="5" spans="2:5" x14ac:dyDescent="0.25">
      <c r="B5" t="s">
        <v>173</v>
      </c>
    </row>
    <row r="8" spans="2:5" x14ac:dyDescent="0.25">
      <c r="B8" t="s">
        <v>174</v>
      </c>
    </row>
    <row r="9" spans="2:5" x14ac:dyDescent="0.25">
      <c r="B9" t="s">
        <v>175</v>
      </c>
    </row>
    <row r="10" spans="2:5" x14ac:dyDescent="0.25">
      <c r="B10" t="s">
        <v>176</v>
      </c>
    </row>
    <row r="11" spans="2:5" x14ac:dyDescent="0.25">
      <c r="B11" t="s">
        <v>214</v>
      </c>
    </row>
    <row r="13" spans="2:5" x14ac:dyDescent="0.25">
      <c r="B13" t="s">
        <v>177</v>
      </c>
    </row>
    <row r="14" spans="2:5" x14ac:dyDescent="0.25">
      <c r="B14" t="s">
        <v>178</v>
      </c>
    </row>
    <row r="15" spans="2:5" x14ac:dyDescent="0.25">
      <c r="B15" t="s">
        <v>179</v>
      </c>
    </row>
    <row r="16" spans="2:5" x14ac:dyDescent="0.25">
      <c r="B16" t="s">
        <v>180</v>
      </c>
    </row>
    <row r="17" spans="2:2" x14ac:dyDescent="0.25">
      <c r="B17" t="s">
        <v>181</v>
      </c>
    </row>
    <row r="18" spans="2:2" x14ac:dyDescent="0.25">
      <c r="B18" t="s">
        <v>182</v>
      </c>
    </row>
    <row r="19" spans="2:2" x14ac:dyDescent="0.25">
      <c r="B19" t="s">
        <v>183</v>
      </c>
    </row>
  </sheetData>
  <sortState xmlns:xlrd2="http://schemas.microsoft.com/office/spreadsheetml/2017/richdata2" ref="B2:B5">
    <sortCondition ref="B2:B5"/>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M29"/>
  <sheetViews>
    <sheetView topLeftCell="A10" workbookViewId="0">
      <selection activeCell="D9" sqref="D9"/>
    </sheetView>
  </sheetViews>
  <sheetFormatPr baseColWidth="10" defaultColWidth="11.42578125" defaultRowHeight="12.75" x14ac:dyDescent="0.2"/>
  <cols>
    <col min="1" max="1" width="32.85546875" style="1" customWidth="1"/>
    <col min="2" max="16384" width="11.42578125" style="1"/>
  </cols>
  <sheetData>
    <row r="2" spans="1:13" x14ac:dyDescent="0.2">
      <c r="C2" s="67"/>
      <c r="D2" s="68" t="s">
        <v>184</v>
      </c>
      <c r="E2" s="67"/>
      <c r="F2" s="67"/>
      <c r="G2" s="67"/>
      <c r="H2" s="67"/>
      <c r="I2" s="67" t="s">
        <v>185</v>
      </c>
      <c r="J2" s="67"/>
      <c r="K2" s="67"/>
      <c r="L2" s="67"/>
      <c r="M2" s="67"/>
    </row>
    <row r="3" spans="1:13" x14ac:dyDescent="0.2">
      <c r="A3" s="2" t="s">
        <v>144</v>
      </c>
      <c r="C3" s="67">
        <v>1</v>
      </c>
      <c r="D3" s="67" t="s">
        <v>186</v>
      </c>
      <c r="E3" s="67"/>
      <c r="F3" s="67"/>
      <c r="G3" s="67"/>
      <c r="H3" s="67"/>
      <c r="I3" s="67" t="s">
        <v>61</v>
      </c>
      <c r="M3" s="67"/>
    </row>
    <row r="4" spans="1:13" x14ac:dyDescent="0.2">
      <c r="A4" s="2" t="s">
        <v>146</v>
      </c>
      <c r="C4" s="67">
        <v>2</v>
      </c>
      <c r="D4" s="67" t="s">
        <v>198</v>
      </c>
      <c r="E4" s="67"/>
      <c r="F4" s="67"/>
      <c r="G4" s="67"/>
      <c r="H4" s="67"/>
      <c r="I4" s="67" t="s">
        <v>63</v>
      </c>
      <c r="J4" s="67"/>
      <c r="K4" s="67"/>
      <c r="L4" s="67"/>
      <c r="M4" s="67"/>
    </row>
    <row r="5" spans="1:13" x14ac:dyDescent="0.2">
      <c r="A5" s="2"/>
      <c r="C5" s="67">
        <v>3</v>
      </c>
      <c r="D5" s="67" t="s">
        <v>187</v>
      </c>
      <c r="E5" s="67"/>
      <c r="F5" s="67"/>
      <c r="G5" s="67"/>
      <c r="H5" s="67"/>
      <c r="I5" s="67" t="s">
        <v>67</v>
      </c>
      <c r="J5" s="67"/>
      <c r="K5" s="67"/>
      <c r="L5" s="67"/>
      <c r="M5" s="67"/>
    </row>
    <row r="6" spans="1:13" x14ac:dyDescent="0.2">
      <c r="A6" s="2" t="s">
        <v>150</v>
      </c>
      <c r="C6" s="67">
        <v>4</v>
      </c>
      <c r="D6" s="67" t="s">
        <v>199</v>
      </c>
      <c r="E6" s="67"/>
      <c r="F6" s="67"/>
      <c r="G6" s="67"/>
      <c r="H6" s="67"/>
      <c r="I6" s="67" t="s">
        <v>69</v>
      </c>
      <c r="J6" s="67"/>
      <c r="K6" s="67"/>
      <c r="L6" s="67"/>
      <c r="M6" s="67"/>
    </row>
    <row r="7" spans="1:13" x14ac:dyDescent="0.2">
      <c r="A7" s="2" t="s">
        <v>152</v>
      </c>
      <c r="C7" s="67">
        <v>5</v>
      </c>
      <c r="D7" s="67" t="s">
        <v>200</v>
      </c>
      <c r="E7" s="67"/>
      <c r="F7" s="67"/>
      <c r="G7" s="67"/>
      <c r="H7" s="67"/>
      <c r="I7" s="67" t="s">
        <v>188</v>
      </c>
      <c r="J7" s="67"/>
      <c r="K7" s="67"/>
      <c r="L7" s="67"/>
      <c r="M7" s="67"/>
    </row>
    <row r="8" spans="1:13" x14ac:dyDescent="0.2">
      <c r="A8" s="2" t="s">
        <v>155</v>
      </c>
      <c r="C8" s="67">
        <v>6</v>
      </c>
      <c r="D8" s="67" t="s">
        <v>201</v>
      </c>
      <c r="E8" s="67"/>
      <c r="F8" s="67"/>
      <c r="G8" s="67"/>
      <c r="H8" s="67"/>
      <c r="I8" s="67"/>
      <c r="J8" s="67"/>
      <c r="K8" s="67"/>
      <c r="L8" s="67"/>
      <c r="M8" s="67"/>
    </row>
    <row r="9" spans="1:13" x14ac:dyDescent="0.2">
      <c r="A9" s="2" t="s">
        <v>157</v>
      </c>
      <c r="C9" s="67">
        <v>7</v>
      </c>
      <c r="D9" s="67" t="s">
        <v>190</v>
      </c>
      <c r="E9" s="67"/>
      <c r="F9" s="67"/>
      <c r="G9" s="67"/>
      <c r="H9" s="67"/>
      <c r="I9" s="67" t="s">
        <v>189</v>
      </c>
      <c r="J9" s="67"/>
      <c r="K9" s="67"/>
      <c r="L9" s="67"/>
      <c r="M9" s="67"/>
    </row>
    <row r="10" spans="1:13" x14ac:dyDescent="0.2">
      <c r="A10" s="2" t="s">
        <v>159</v>
      </c>
      <c r="C10" s="67">
        <v>8</v>
      </c>
      <c r="D10" s="67" t="s">
        <v>212</v>
      </c>
      <c r="E10" s="67"/>
      <c r="F10" s="67"/>
      <c r="G10" s="67"/>
      <c r="H10" s="67"/>
      <c r="I10" s="67" t="s">
        <v>73</v>
      </c>
      <c r="J10" s="67"/>
      <c r="K10" s="67"/>
      <c r="L10" s="67"/>
      <c r="M10" s="67"/>
    </row>
    <row r="11" spans="1:13" x14ac:dyDescent="0.2">
      <c r="A11" s="2" t="s">
        <v>161</v>
      </c>
      <c r="C11" s="67">
        <v>9</v>
      </c>
      <c r="D11" s="67" t="s">
        <v>202</v>
      </c>
      <c r="E11" s="67"/>
      <c r="F11" s="67"/>
      <c r="G11" s="67"/>
      <c r="H11" s="67"/>
      <c r="I11" s="67" t="s">
        <v>76</v>
      </c>
      <c r="J11" s="67"/>
      <c r="K11" s="67"/>
      <c r="L11" s="67"/>
      <c r="M11" s="67"/>
    </row>
    <row r="12" spans="1:13" x14ac:dyDescent="0.2">
      <c r="A12" s="2" t="s">
        <v>191</v>
      </c>
      <c r="C12" s="67">
        <v>10</v>
      </c>
      <c r="D12" s="67" t="s">
        <v>194</v>
      </c>
      <c r="E12" s="67"/>
      <c r="F12" s="67"/>
      <c r="G12" s="67"/>
      <c r="H12" s="67"/>
      <c r="I12" s="67" t="s">
        <v>82</v>
      </c>
      <c r="J12" s="67"/>
      <c r="K12" s="67"/>
      <c r="L12" s="67"/>
      <c r="M12" s="67"/>
    </row>
    <row r="13" spans="1:13" x14ac:dyDescent="0.2">
      <c r="A13" s="2" t="s">
        <v>193</v>
      </c>
      <c r="C13" s="67">
        <v>11</v>
      </c>
      <c r="D13" s="67" t="s">
        <v>192</v>
      </c>
      <c r="E13" s="67"/>
      <c r="F13" s="67"/>
      <c r="G13" s="67"/>
      <c r="H13" s="67"/>
      <c r="I13" s="67"/>
      <c r="J13" s="67"/>
      <c r="K13" s="67"/>
      <c r="L13" s="67"/>
      <c r="M13" s="67"/>
    </row>
    <row r="14" spans="1:13" x14ac:dyDescent="0.2">
      <c r="A14" s="2" t="s">
        <v>195</v>
      </c>
      <c r="C14" s="67">
        <v>12</v>
      </c>
      <c r="D14" s="67" t="s">
        <v>203</v>
      </c>
      <c r="E14" s="67"/>
      <c r="F14" s="67"/>
      <c r="G14" s="67"/>
      <c r="H14" s="67"/>
      <c r="I14" s="67"/>
      <c r="J14" s="67"/>
      <c r="K14" s="67"/>
      <c r="L14" s="67"/>
      <c r="M14" s="67"/>
    </row>
    <row r="15" spans="1:13" x14ac:dyDescent="0.2">
      <c r="C15" s="67">
        <v>13</v>
      </c>
      <c r="D15" s="67" t="s">
        <v>204</v>
      </c>
      <c r="E15" s="67"/>
      <c r="F15" s="67"/>
      <c r="G15" s="67"/>
      <c r="H15" s="67"/>
      <c r="I15" s="67"/>
      <c r="J15" s="67"/>
      <c r="K15" s="67"/>
      <c r="L15" s="67"/>
      <c r="M15" s="67"/>
    </row>
    <row r="16" spans="1:13" x14ac:dyDescent="0.2">
      <c r="A16" s="2" t="s">
        <v>196</v>
      </c>
      <c r="C16" s="67">
        <v>14</v>
      </c>
      <c r="D16" s="67" t="s">
        <v>205</v>
      </c>
      <c r="E16" s="67"/>
      <c r="F16" s="67"/>
      <c r="G16" s="67"/>
      <c r="H16" s="67"/>
      <c r="I16" s="67"/>
      <c r="J16" s="67"/>
      <c r="K16" s="67"/>
      <c r="L16" s="67"/>
      <c r="M16" s="67"/>
    </row>
    <row r="17" spans="1:13" x14ac:dyDescent="0.2">
      <c r="A17" s="2" t="s">
        <v>197</v>
      </c>
      <c r="C17" s="67">
        <v>15</v>
      </c>
      <c r="D17" s="67" t="s">
        <v>206</v>
      </c>
      <c r="E17" s="67"/>
      <c r="F17" s="67"/>
      <c r="G17" s="67"/>
      <c r="H17" s="67"/>
      <c r="I17" s="67"/>
      <c r="J17" s="67"/>
      <c r="K17" s="67"/>
      <c r="L17" s="67"/>
      <c r="M17" s="67"/>
    </row>
    <row r="18" spans="1:13" x14ac:dyDescent="0.2">
      <c r="A18" s="2" t="s">
        <v>169</v>
      </c>
      <c r="C18" s="67">
        <v>16</v>
      </c>
      <c r="D18" s="67" t="s">
        <v>207</v>
      </c>
      <c r="E18" s="67"/>
      <c r="F18" s="67"/>
      <c r="G18" s="67"/>
      <c r="H18" s="67"/>
      <c r="I18" s="67"/>
      <c r="J18" s="67"/>
      <c r="K18" s="67"/>
      <c r="L18" s="67"/>
      <c r="M18" s="67"/>
    </row>
    <row r="19" spans="1:13" x14ac:dyDescent="0.2">
      <c r="C19" s="67">
        <v>17</v>
      </c>
      <c r="D19" s="67" t="s">
        <v>208</v>
      </c>
      <c r="E19" s="67"/>
      <c r="F19" s="67"/>
      <c r="G19" s="67"/>
      <c r="H19" s="67"/>
      <c r="I19" s="67"/>
      <c r="J19" s="67"/>
      <c r="K19" s="67"/>
      <c r="L19" s="67"/>
      <c r="M19" s="67"/>
    </row>
    <row r="20" spans="1:13" x14ac:dyDescent="0.2">
      <c r="A20" s="2" t="s">
        <v>175</v>
      </c>
      <c r="C20" s="67">
        <v>18</v>
      </c>
      <c r="D20" s="67" t="s">
        <v>209</v>
      </c>
      <c r="E20" s="67"/>
      <c r="F20" s="67"/>
      <c r="G20" s="67"/>
      <c r="H20" s="67"/>
      <c r="I20" s="67"/>
      <c r="J20" s="67"/>
      <c r="K20" s="67"/>
      <c r="L20" s="67"/>
      <c r="M20" s="67"/>
    </row>
    <row r="21" spans="1:13" x14ac:dyDescent="0.2">
      <c r="A21" s="2" t="s">
        <v>176</v>
      </c>
      <c r="C21" s="67"/>
      <c r="D21" s="67"/>
      <c r="E21" s="67"/>
      <c r="F21" s="67"/>
      <c r="G21" s="67"/>
      <c r="H21" s="67"/>
      <c r="I21" s="67"/>
      <c r="J21" s="67"/>
      <c r="K21" s="67"/>
      <c r="L21" s="67"/>
      <c r="M21" s="67"/>
    </row>
    <row r="22" spans="1:13" x14ac:dyDescent="0.2">
      <c r="C22" s="67"/>
      <c r="D22" s="67"/>
      <c r="E22" s="67"/>
      <c r="F22" s="67"/>
      <c r="G22" s="67"/>
      <c r="H22" s="67"/>
      <c r="I22" s="67"/>
      <c r="J22" s="67"/>
      <c r="K22" s="67"/>
      <c r="L22" s="67"/>
      <c r="M22" s="67"/>
    </row>
    <row r="23" spans="1:13" x14ac:dyDescent="0.2">
      <c r="C23" s="67"/>
      <c r="D23" s="67"/>
      <c r="E23" s="67"/>
      <c r="F23" s="67"/>
      <c r="G23" s="67"/>
      <c r="H23" s="67"/>
      <c r="I23" s="67"/>
      <c r="J23" s="67"/>
      <c r="K23" s="67"/>
      <c r="L23" s="67"/>
      <c r="M23" s="67"/>
    </row>
    <row r="24" spans="1:13" x14ac:dyDescent="0.2">
      <c r="C24" s="67"/>
      <c r="D24" s="67"/>
      <c r="E24" s="67"/>
      <c r="F24" s="67"/>
      <c r="G24" s="67"/>
      <c r="H24" s="67"/>
      <c r="I24" s="67"/>
      <c r="J24" s="67"/>
      <c r="K24" s="67"/>
      <c r="L24" s="67"/>
      <c r="M24" s="67"/>
    </row>
    <row r="25" spans="1:13" x14ac:dyDescent="0.2">
      <c r="C25" s="67"/>
      <c r="D25" s="67"/>
      <c r="E25" s="67"/>
      <c r="F25" s="67"/>
      <c r="G25" s="67"/>
      <c r="H25" s="67"/>
      <c r="I25" s="67"/>
      <c r="J25" s="67"/>
      <c r="K25" s="67"/>
      <c r="L25" s="67"/>
      <c r="M25" s="67"/>
    </row>
    <row r="26" spans="1:13" x14ac:dyDescent="0.2">
      <c r="C26" s="67"/>
      <c r="D26" s="67"/>
      <c r="E26" s="67"/>
      <c r="F26" s="67"/>
      <c r="G26" s="67"/>
      <c r="H26" s="67"/>
      <c r="I26" s="67"/>
      <c r="J26" s="67"/>
      <c r="K26" s="67"/>
      <c r="L26" s="67"/>
      <c r="M26" s="67"/>
    </row>
    <row r="27" spans="1:13" x14ac:dyDescent="0.2">
      <c r="C27" s="67"/>
      <c r="D27" s="67"/>
      <c r="E27" s="67"/>
      <c r="F27" s="67"/>
      <c r="G27" s="67"/>
      <c r="H27" s="67"/>
      <c r="I27" s="67"/>
      <c r="J27" s="67"/>
      <c r="K27" s="67"/>
      <c r="L27" s="67"/>
      <c r="M27" s="67"/>
    </row>
    <row r="28" spans="1:13" x14ac:dyDescent="0.2">
      <c r="C28" s="67"/>
      <c r="D28" s="67"/>
      <c r="E28" s="67"/>
      <c r="F28" s="67"/>
      <c r="G28" s="67"/>
      <c r="H28" s="67"/>
      <c r="I28" s="67"/>
      <c r="J28" s="67"/>
      <c r="K28" s="67"/>
      <c r="L28" s="67"/>
      <c r="M28" s="67"/>
    </row>
    <row r="29" spans="1:13" x14ac:dyDescent="0.2">
      <c r="C29" s="67"/>
      <c r="D29" s="67"/>
      <c r="E29" s="67"/>
      <c r="F29" s="67"/>
      <c r="G29" s="67"/>
      <c r="H29" s="67"/>
      <c r="I29" s="67"/>
      <c r="J29" s="67"/>
      <c r="K29" s="67"/>
      <c r="L29" s="67"/>
      <c r="M29" s="6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Mapa final</vt:lpstr>
      <vt:lpstr>Matriz Calor Inherente</vt:lpstr>
      <vt:lpstr>Matriz Calor Residual</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 Alexandra Campos Vieda</dc:creator>
  <cp:keywords/>
  <dc:description/>
  <cp:lastModifiedBy>Carol Alexandra Campos Vieda</cp:lastModifiedBy>
  <cp:revision/>
  <dcterms:created xsi:type="dcterms:W3CDTF">2020-03-24T23:12:47Z</dcterms:created>
  <dcterms:modified xsi:type="dcterms:W3CDTF">2024-08-30T13:56:40Z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299739c-ad3d-4908-806e-4d91151a6e13_Enabled">
    <vt:lpwstr>true</vt:lpwstr>
  </property>
  <property fmtid="{D5CDD505-2E9C-101B-9397-08002B2CF9AE}" pid="3" name="MSIP_Label_1299739c-ad3d-4908-806e-4d91151a6e13_SetDate">
    <vt:lpwstr>2022-11-21T15:02:05Z</vt:lpwstr>
  </property>
  <property fmtid="{D5CDD505-2E9C-101B-9397-08002B2CF9AE}" pid="4" name="MSIP_Label_1299739c-ad3d-4908-806e-4d91151a6e13_Method">
    <vt:lpwstr>Standard</vt:lpwstr>
  </property>
  <property fmtid="{D5CDD505-2E9C-101B-9397-08002B2CF9AE}" pid="5" name="MSIP_Label_1299739c-ad3d-4908-806e-4d91151a6e13_Name">
    <vt:lpwstr>All Employees (Unrestricted)</vt:lpwstr>
  </property>
  <property fmtid="{D5CDD505-2E9C-101B-9397-08002B2CF9AE}" pid="6" name="MSIP_Label_1299739c-ad3d-4908-806e-4d91151a6e13_SiteId">
    <vt:lpwstr>cbc2c381-2f2e-4d93-91d1-506c9316ace7</vt:lpwstr>
  </property>
  <property fmtid="{D5CDD505-2E9C-101B-9397-08002B2CF9AE}" pid="7" name="MSIP_Label_1299739c-ad3d-4908-806e-4d91151a6e13_ActionId">
    <vt:lpwstr>0a9216dc-86e8-45b5-bd7e-000299178c1a</vt:lpwstr>
  </property>
  <property fmtid="{D5CDD505-2E9C-101B-9397-08002B2CF9AE}" pid="8" name="MSIP_Label_1299739c-ad3d-4908-806e-4d91151a6e13_ContentBits">
    <vt:lpwstr>0</vt:lpwstr>
  </property>
</Properties>
</file>