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hidePivotFieldList="1" defaultThemeVersion="124226"/>
  <mc:AlternateContent xmlns:mc="http://schemas.openxmlformats.org/markup-compatibility/2006">
    <mc:Choice Requires="x15">
      <x15ac:absPath xmlns:x15ac="http://schemas.microsoft.com/office/spreadsheetml/2010/11/ac" url="https://saesas-my.sharepoint.com/personal/agmartinez_saesas_gov_co/Documents/Escritorio/"/>
    </mc:Choice>
  </mc:AlternateContent>
  <xr:revisionPtr revIDLastSave="0" documentId="8_{5C34263D-EE59-493E-8C24-07DCEBD814C0}" xr6:coauthVersionLast="47" xr6:coauthVersionMax="47" xr10:uidLastSave="{00000000-0000-0000-0000-000000000000}"/>
  <bookViews>
    <workbookView xWindow="-120" yWindow="-120" windowWidth="29040" windowHeight="15720" tabRatio="542" firstSheet="1" activeTab="1" xr2:uid="{00000000-000D-0000-FFFF-FFFF00000000}"/>
  </bookViews>
  <sheets>
    <sheet name="Instructivo" sheetId="20" r:id="rId1"/>
    <sheet name="Mapa final" sheetId="1" r:id="rId2"/>
    <sheet name="Hoja2" sheetId="21" state="hidden" r:id="rId3"/>
    <sheet name="Matriz Calor Inherente" sheetId="18" state="hidden" r:id="rId4"/>
    <sheet name="Matriz Calor Residual" sheetId="19" state="hidden" r:id="rId5"/>
    <sheet name="Tabla probabilidad" sheetId="12" r:id="rId6"/>
    <sheet name="Tabla Impacto" sheetId="13" r:id="rId7"/>
    <sheet name="Tabla Valoración controles" sheetId="15" r:id="rId8"/>
    <sheet name="Opciones Tratamiento" sheetId="16" state="hidden" r:id="rId9"/>
    <sheet name="Hoja1" sheetId="11" state="hidden" r:id="rId10"/>
  </sheets>
  <definedNames>
    <definedName name="_xlnm._FilterDatabase" localSheetId="1" hidden="1">'Mapa final'!$A$7:$BJ$313</definedName>
  </definedNames>
  <calcPr calcId="191028"/>
  <pivotCaches>
    <pivotCache cacheId="4" r:id="rId1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282" i="1" l="1"/>
  <c r="L282" i="1"/>
  <c r="U281" i="1"/>
  <c r="R281" i="1"/>
  <c r="L281" i="1"/>
  <c r="U280" i="1"/>
  <c r="R280" i="1"/>
  <c r="L280" i="1"/>
  <c r="M280" i="1" s="1"/>
  <c r="N280" i="1" s="1"/>
  <c r="I280" i="1"/>
  <c r="U202" i="1"/>
  <c r="U201" i="1"/>
  <c r="R165" i="1"/>
  <c r="U164" i="1"/>
  <c r="R164" i="1"/>
  <c r="U165" i="1"/>
  <c r="U166" i="1"/>
  <c r="U167" i="1"/>
  <c r="U168" i="1"/>
  <c r="U169" i="1"/>
  <c r="U170" i="1"/>
  <c r="U171" i="1"/>
  <c r="U172" i="1"/>
  <c r="U173" i="1"/>
  <c r="U174" i="1"/>
  <c r="L310" i="1"/>
  <c r="U309" i="1"/>
  <c r="R309" i="1"/>
  <c r="L309" i="1"/>
  <c r="U308" i="1"/>
  <c r="R308" i="1"/>
  <c r="L308" i="1"/>
  <c r="M308" i="1" s="1"/>
  <c r="N308" i="1" s="1"/>
  <c r="I308" i="1"/>
  <c r="U313" i="1"/>
  <c r="L313" i="1"/>
  <c r="U312" i="1"/>
  <c r="R312" i="1"/>
  <c r="L312" i="1"/>
  <c r="U311" i="1"/>
  <c r="R311" i="1"/>
  <c r="L311" i="1"/>
  <c r="M311" i="1" s="1"/>
  <c r="I311" i="1"/>
  <c r="J311" i="1" s="1"/>
  <c r="U307" i="1"/>
  <c r="L307" i="1"/>
  <c r="U306" i="1"/>
  <c r="L306" i="1"/>
  <c r="U305" i="1"/>
  <c r="R305" i="1"/>
  <c r="L305" i="1"/>
  <c r="U304" i="1"/>
  <c r="R304" i="1"/>
  <c r="L304" i="1"/>
  <c r="M304" i="1" s="1"/>
  <c r="I304" i="1"/>
  <c r="J304" i="1" s="1"/>
  <c r="U303" i="1"/>
  <c r="L303" i="1"/>
  <c r="U302" i="1"/>
  <c r="R302" i="1"/>
  <c r="L302" i="1"/>
  <c r="U301" i="1"/>
  <c r="R301" i="1"/>
  <c r="L301" i="1"/>
  <c r="M301" i="1" s="1"/>
  <c r="N301" i="1" s="1"/>
  <c r="I301" i="1"/>
  <c r="U300" i="1"/>
  <c r="L300" i="1"/>
  <c r="U299" i="1"/>
  <c r="R299" i="1"/>
  <c r="L299" i="1"/>
  <c r="U298" i="1"/>
  <c r="R298" i="1"/>
  <c r="L298" i="1"/>
  <c r="M298" i="1" s="1"/>
  <c r="N298" i="1" s="1"/>
  <c r="I298" i="1"/>
  <c r="L297" i="1"/>
  <c r="L296" i="1"/>
  <c r="U295" i="1"/>
  <c r="R295" i="1"/>
  <c r="L295" i="1"/>
  <c r="M295" i="1" s="1"/>
  <c r="I295" i="1"/>
  <c r="J295" i="1" s="1"/>
  <c r="U294" i="1"/>
  <c r="L294" i="1"/>
  <c r="U293" i="1"/>
  <c r="R293" i="1"/>
  <c r="L293" i="1"/>
  <c r="U292" i="1"/>
  <c r="R292" i="1"/>
  <c r="L292" i="1"/>
  <c r="M292" i="1" s="1"/>
  <c r="N292" i="1" s="1"/>
  <c r="I292" i="1"/>
  <c r="J292" i="1" s="1"/>
  <c r="L291" i="1"/>
  <c r="U290" i="1"/>
  <c r="R290" i="1"/>
  <c r="L290" i="1"/>
  <c r="U289" i="1"/>
  <c r="R289" i="1"/>
  <c r="L289" i="1"/>
  <c r="M289" i="1" s="1"/>
  <c r="I289" i="1"/>
  <c r="J289" i="1" s="1"/>
  <c r="U287" i="1"/>
  <c r="R287" i="1"/>
  <c r="L288" i="1"/>
  <c r="L287" i="1"/>
  <c r="U286" i="1"/>
  <c r="L286" i="1"/>
  <c r="M286" i="1" s="1"/>
  <c r="N286" i="1" s="1"/>
  <c r="AC286" i="1" s="1"/>
  <c r="AB286" i="1" s="1"/>
  <c r="I286" i="1"/>
  <c r="L285" i="1"/>
  <c r="L284" i="1"/>
  <c r="U283" i="1"/>
  <c r="L283" i="1"/>
  <c r="M283" i="1" s="1"/>
  <c r="N283" i="1" s="1"/>
  <c r="I283" i="1"/>
  <c r="U279" i="1"/>
  <c r="L279" i="1"/>
  <c r="U278" i="1"/>
  <c r="R278" i="1"/>
  <c r="L278" i="1"/>
  <c r="U277" i="1"/>
  <c r="R277" i="1"/>
  <c r="L277" i="1"/>
  <c r="M277" i="1" s="1"/>
  <c r="N277" i="1" s="1"/>
  <c r="I277" i="1"/>
  <c r="L276" i="1"/>
  <c r="L275" i="1"/>
  <c r="U274" i="1"/>
  <c r="R274" i="1"/>
  <c r="L274" i="1"/>
  <c r="M274" i="1" s="1"/>
  <c r="N274" i="1" s="1"/>
  <c r="I274" i="1"/>
  <c r="U273" i="1"/>
  <c r="L273" i="1"/>
  <c r="U272" i="1"/>
  <c r="R272" i="1"/>
  <c r="L272" i="1"/>
  <c r="U271" i="1"/>
  <c r="R271" i="1"/>
  <c r="L271" i="1"/>
  <c r="M271" i="1" s="1"/>
  <c r="N271" i="1" s="1"/>
  <c r="I271" i="1"/>
  <c r="U270" i="1"/>
  <c r="R270" i="1"/>
  <c r="L270" i="1"/>
  <c r="U269" i="1"/>
  <c r="R269" i="1"/>
  <c r="L269" i="1"/>
  <c r="M269" i="1" s="1"/>
  <c r="N269" i="1" s="1"/>
  <c r="I269" i="1"/>
  <c r="U268" i="1"/>
  <c r="R268" i="1"/>
  <c r="L268" i="1"/>
  <c r="U267" i="1"/>
  <c r="R267" i="1"/>
  <c r="L267" i="1"/>
  <c r="M267" i="1" s="1"/>
  <c r="N267" i="1" s="1"/>
  <c r="I267" i="1"/>
  <c r="J267" i="1" s="1"/>
  <c r="U266" i="1"/>
  <c r="L266" i="1"/>
  <c r="U265" i="1"/>
  <c r="R265" i="1"/>
  <c r="L265" i="1"/>
  <c r="U264" i="1"/>
  <c r="R264" i="1"/>
  <c r="L264" i="1"/>
  <c r="M264" i="1" s="1"/>
  <c r="N264" i="1" s="1"/>
  <c r="I264" i="1"/>
  <c r="J264" i="1" s="1"/>
  <c r="U263" i="1"/>
  <c r="R263" i="1"/>
  <c r="L263" i="1"/>
  <c r="M263" i="1" s="1"/>
  <c r="N263" i="1" s="1"/>
  <c r="I263" i="1"/>
  <c r="U262" i="1"/>
  <c r="L262" i="1"/>
  <c r="U261" i="1"/>
  <c r="R261" i="1"/>
  <c r="L261" i="1"/>
  <c r="U260" i="1"/>
  <c r="R260" i="1"/>
  <c r="L260" i="1"/>
  <c r="M260" i="1" s="1"/>
  <c r="N260" i="1" s="1"/>
  <c r="I260" i="1"/>
  <c r="U259" i="1"/>
  <c r="L259" i="1"/>
  <c r="U258" i="1"/>
  <c r="R258" i="1"/>
  <c r="L258" i="1"/>
  <c r="U257" i="1"/>
  <c r="R257" i="1"/>
  <c r="L257" i="1"/>
  <c r="M257" i="1" s="1"/>
  <c r="N257" i="1" s="1"/>
  <c r="I257" i="1"/>
  <c r="U256" i="1"/>
  <c r="L256" i="1"/>
  <c r="U255" i="1"/>
  <c r="R255" i="1"/>
  <c r="L255" i="1"/>
  <c r="U254" i="1"/>
  <c r="R254" i="1"/>
  <c r="L254" i="1"/>
  <c r="M254" i="1" s="1"/>
  <c r="N254" i="1" s="1"/>
  <c r="I254" i="1"/>
  <c r="U253" i="1"/>
  <c r="L253" i="1"/>
  <c r="U252" i="1"/>
  <c r="R252" i="1"/>
  <c r="L252" i="1"/>
  <c r="U251" i="1"/>
  <c r="R251" i="1"/>
  <c r="L251" i="1"/>
  <c r="M251" i="1" s="1"/>
  <c r="N251" i="1" s="1"/>
  <c r="I251" i="1"/>
  <c r="U250" i="1"/>
  <c r="R250" i="1"/>
  <c r="L250" i="1"/>
  <c r="M250" i="1" s="1"/>
  <c r="N250" i="1" s="1"/>
  <c r="I250" i="1"/>
  <c r="U249" i="1"/>
  <c r="L249" i="1"/>
  <c r="U248" i="1"/>
  <c r="R248" i="1"/>
  <c r="L248" i="1"/>
  <c r="U247" i="1"/>
  <c r="R247" i="1"/>
  <c r="L247" i="1"/>
  <c r="M247" i="1" s="1"/>
  <c r="N247" i="1" s="1"/>
  <c r="I247" i="1"/>
  <c r="U246" i="1"/>
  <c r="L246" i="1"/>
  <c r="U245" i="1"/>
  <c r="L245" i="1"/>
  <c r="U244" i="1"/>
  <c r="R244" i="1"/>
  <c r="L244" i="1"/>
  <c r="U243" i="1"/>
  <c r="R243" i="1"/>
  <c r="L243" i="1"/>
  <c r="M243" i="1" s="1"/>
  <c r="N243" i="1" s="1"/>
  <c r="I243" i="1"/>
  <c r="U242" i="1"/>
  <c r="R242" i="1"/>
  <c r="L242" i="1"/>
  <c r="U241" i="1"/>
  <c r="R241" i="1"/>
  <c r="L241" i="1"/>
  <c r="M241" i="1" s="1"/>
  <c r="N241" i="1" s="1"/>
  <c r="I241" i="1"/>
  <c r="J241" i="1" s="1"/>
  <c r="U240" i="1"/>
  <c r="L240" i="1"/>
  <c r="U239" i="1"/>
  <c r="R239" i="1"/>
  <c r="L239" i="1"/>
  <c r="U238" i="1"/>
  <c r="R238" i="1"/>
  <c r="L238" i="1"/>
  <c r="M238" i="1" s="1"/>
  <c r="N238" i="1" s="1"/>
  <c r="I238" i="1"/>
  <c r="U237" i="1"/>
  <c r="L237" i="1"/>
  <c r="U236" i="1"/>
  <c r="L236" i="1"/>
  <c r="U235" i="1"/>
  <c r="R235" i="1"/>
  <c r="L235" i="1"/>
  <c r="U234" i="1"/>
  <c r="R234" i="1"/>
  <c r="L234" i="1"/>
  <c r="M234" i="1" s="1"/>
  <c r="N234" i="1" s="1"/>
  <c r="I234" i="1"/>
  <c r="U233" i="1"/>
  <c r="L233" i="1"/>
  <c r="U232" i="1"/>
  <c r="R232" i="1"/>
  <c r="L232" i="1"/>
  <c r="U231" i="1"/>
  <c r="R231" i="1"/>
  <c r="L231" i="1"/>
  <c r="M231" i="1" s="1"/>
  <c r="N231" i="1" s="1"/>
  <c r="I231" i="1"/>
  <c r="U230" i="1"/>
  <c r="R230" i="1"/>
  <c r="L230" i="1"/>
  <c r="U229" i="1"/>
  <c r="R229" i="1"/>
  <c r="L229" i="1"/>
  <c r="M229" i="1" s="1"/>
  <c r="N229" i="1" s="1"/>
  <c r="I229" i="1"/>
  <c r="U228" i="1"/>
  <c r="L228" i="1"/>
  <c r="U227" i="1"/>
  <c r="R227" i="1"/>
  <c r="L227" i="1"/>
  <c r="U226" i="1"/>
  <c r="R226" i="1"/>
  <c r="L226" i="1"/>
  <c r="M226" i="1" s="1"/>
  <c r="N226" i="1" s="1"/>
  <c r="I226" i="1"/>
  <c r="U225" i="1"/>
  <c r="L225" i="1"/>
  <c r="U224" i="1"/>
  <c r="L224" i="1"/>
  <c r="U223" i="1"/>
  <c r="R223" i="1"/>
  <c r="L223" i="1"/>
  <c r="U222" i="1"/>
  <c r="R222" i="1"/>
  <c r="L222" i="1"/>
  <c r="M222" i="1" s="1"/>
  <c r="N222" i="1" s="1"/>
  <c r="I222" i="1"/>
  <c r="J222" i="1" s="1"/>
  <c r="U221" i="1"/>
  <c r="L221" i="1"/>
  <c r="U220" i="1"/>
  <c r="R220" i="1"/>
  <c r="L220" i="1"/>
  <c r="U219" i="1"/>
  <c r="R219" i="1"/>
  <c r="L219" i="1"/>
  <c r="M219" i="1" s="1"/>
  <c r="N219" i="1" s="1"/>
  <c r="I219" i="1"/>
  <c r="L218" i="1"/>
  <c r="U217" i="1"/>
  <c r="L217" i="1"/>
  <c r="U216" i="1"/>
  <c r="L216" i="1"/>
  <c r="U215" i="1"/>
  <c r="L215" i="1"/>
  <c r="U214" i="1"/>
  <c r="R214" i="1"/>
  <c r="L214" i="1"/>
  <c r="U213" i="1"/>
  <c r="R213" i="1"/>
  <c r="L213" i="1"/>
  <c r="M213" i="1" s="1"/>
  <c r="N213" i="1" s="1"/>
  <c r="I213" i="1"/>
  <c r="J213" i="1" s="1"/>
  <c r="L212" i="1"/>
  <c r="L211" i="1"/>
  <c r="U210" i="1"/>
  <c r="L210" i="1"/>
  <c r="U209" i="1"/>
  <c r="L209" i="1"/>
  <c r="U208" i="1"/>
  <c r="R208" i="1"/>
  <c r="L208" i="1"/>
  <c r="U207" i="1"/>
  <c r="R207" i="1"/>
  <c r="L207" i="1"/>
  <c r="M207" i="1" s="1"/>
  <c r="N207" i="1" s="1"/>
  <c r="I207" i="1"/>
  <c r="J207" i="1" s="1"/>
  <c r="U189" i="1"/>
  <c r="U190" i="1"/>
  <c r="U206" i="1"/>
  <c r="L206" i="1"/>
  <c r="U205" i="1"/>
  <c r="R205" i="1"/>
  <c r="L205" i="1"/>
  <c r="U204" i="1"/>
  <c r="R204" i="1"/>
  <c r="L204" i="1"/>
  <c r="M204" i="1" s="1"/>
  <c r="N204" i="1" s="1"/>
  <c r="I204" i="1"/>
  <c r="J204" i="1" s="1"/>
  <c r="L191" i="1"/>
  <c r="L190" i="1"/>
  <c r="L189" i="1"/>
  <c r="U188" i="1"/>
  <c r="L188" i="1"/>
  <c r="U187" i="1"/>
  <c r="R187" i="1"/>
  <c r="L187" i="1"/>
  <c r="U186" i="1"/>
  <c r="R186" i="1"/>
  <c r="L186" i="1"/>
  <c r="M186" i="1" s="1"/>
  <c r="N186" i="1" s="1"/>
  <c r="I186" i="1"/>
  <c r="J186" i="1" s="1"/>
  <c r="L202" i="1"/>
  <c r="L201" i="1"/>
  <c r="U200" i="1"/>
  <c r="L200" i="1"/>
  <c r="U199" i="1"/>
  <c r="R199" i="1"/>
  <c r="L199" i="1"/>
  <c r="U198" i="1"/>
  <c r="R198" i="1"/>
  <c r="L198" i="1"/>
  <c r="M198" i="1" s="1"/>
  <c r="N198" i="1" s="1"/>
  <c r="I198" i="1"/>
  <c r="J198" i="1" s="1"/>
  <c r="U197" i="1"/>
  <c r="U196" i="1"/>
  <c r="L196" i="1"/>
  <c r="U195" i="1"/>
  <c r="L195" i="1"/>
  <c r="U194" i="1"/>
  <c r="L194" i="1"/>
  <c r="U193" i="1"/>
  <c r="R193" i="1"/>
  <c r="L193" i="1"/>
  <c r="U192" i="1"/>
  <c r="R192" i="1"/>
  <c r="L192" i="1"/>
  <c r="M192" i="1" s="1"/>
  <c r="N192" i="1" s="1"/>
  <c r="I192" i="1"/>
  <c r="J192" i="1" s="1"/>
  <c r="U185" i="1"/>
  <c r="R185" i="1"/>
  <c r="L185" i="1"/>
  <c r="U184" i="1"/>
  <c r="R184" i="1"/>
  <c r="AC184" i="1" s="1"/>
  <c r="AB184" i="1" s="1"/>
  <c r="L184" i="1"/>
  <c r="L183" i="1"/>
  <c r="U182" i="1"/>
  <c r="L182" i="1"/>
  <c r="U181" i="1"/>
  <c r="R181" i="1"/>
  <c r="L181" i="1"/>
  <c r="M181" i="1" s="1"/>
  <c r="N181" i="1" s="1"/>
  <c r="I181" i="1"/>
  <c r="J181" i="1" s="1"/>
  <c r="L180" i="1"/>
  <c r="U179" i="1"/>
  <c r="L179" i="1"/>
  <c r="U178" i="1"/>
  <c r="L178" i="1"/>
  <c r="U177" i="1"/>
  <c r="L177" i="1"/>
  <c r="U176" i="1"/>
  <c r="R176" i="1"/>
  <c r="L176" i="1"/>
  <c r="U175" i="1"/>
  <c r="R175" i="1"/>
  <c r="L175" i="1"/>
  <c r="M175" i="1" s="1"/>
  <c r="N175" i="1" s="1"/>
  <c r="I175" i="1"/>
  <c r="U130" i="1"/>
  <c r="U131" i="1"/>
  <c r="U163" i="1"/>
  <c r="U162" i="1"/>
  <c r="L163" i="1"/>
  <c r="L162" i="1"/>
  <c r="U161" i="1"/>
  <c r="L161" i="1"/>
  <c r="U160" i="1"/>
  <c r="L160" i="1"/>
  <c r="U159" i="1"/>
  <c r="R159" i="1"/>
  <c r="L159" i="1"/>
  <c r="U158" i="1"/>
  <c r="R158" i="1"/>
  <c r="L158" i="1"/>
  <c r="M158" i="1" s="1"/>
  <c r="N158" i="1" s="1"/>
  <c r="I158" i="1"/>
  <c r="L174" i="1"/>
  <c r="L168" i="1"/>
  <c r="L167" i="1"/>
  <c r="L166" i="1"/>
  <c r="L165" i="1"/>
  <c r="L164" i="1"/>
  <c r="M164" i="1" s="1"/>
  <c r="N164" i="1" s="1"/>
  <c r="I164" i="1"/>
  <c r="L157" i="1"/>
  <c r="L156" i="1"/>
  <c r="L155" i="1"/>
  <c r="L154" i="1"/>
  <c r="U153" i="1"/>
  <c r="R153" i="1"/>
  <c r="L153" i="1"/>
  <c r="U152" i="1"/>
  <c r="R152" i="1"/>
  <c r="L152" i="1"/>
  <c r="M152" i="1" s="1"/>
  <c r="N152" i="1" s="1"/>
  <c r="I152" i="1"/>
  <c r="L151" i="1"/>
  <c r="L150" i="1"/>
  <c r="U149" i="1"/>
  <c r="L149" i="1"/>
  <c r="U148" i="1"/>
  <c r="L148" i="1"/>
  <c r="U147" i="1"/>
  <c r="R147" i="1"/>
  <c r="L147" i="1"/>
  <c r="U146" i="1"/>
  <c r="R146" i="1"/>
  <c r="L146" i="1"/>
  <c r="M146" i="1" s="1"/>
  <c r="N146" i="1" s="1"/>
  <c r="I146" i="1"/>
  <c r="J146" i="1" s="1"/>
  <c r="L145" i="1"/>
  <c r="L144" i="1"/>
  <c r="U143" i="1"/>
  <c r="L143" i="1"/>
  <c r="U142" i="1"/>
  <c r="L142" i="1"/>
  <c r="U141" i="1"/>
  <c r="R141" i="1"/>
  <c r="L141" i="1"/>
  <c r="U140" i="1"/>
  <c r="R140" i="1"/>
  <c r="L140" i="1"/>
  <c r="M140" i="1" s="1"/>
  <c r="N140" i="1" s="1"/>
  <c r="I140" i="1"/>
  <c r="L139" i="1"/>
  <c r="U138" i="1"/>
  <c r="L138" i="1"/>
  <c r="U137" i="1"/>
  <c r="L137" i="1"/>
  <c r="U136" i="1"/>
  <c r="L136" i="1"/>
  <c r="U135" i="1"/>
  <c r="R135" i="1"/>
  <c r="L135" i="1"/>
  <c r="U134" i="1"/>
  <c r="R134" i="1"/>
  <c r="L134" i="1"/>
  <c r="M134" i="1" s="1"/>
  <c r="N134" i="1" s="1"/>
  <c r="I134" i="1"/>
  <c r="L133" i="1"/>
  <c r="L132" i="1"/>
  <c r="L131" i="1"/>
  <c r="L130" i="1"/>
  <c r="U129" i="1"/>
  <c r="R129" i="1"/>
  <c r="L129" i="1"/>
  <c r="U128" i="1"/>
  <c r="R128" i="1"/>
  <c r="L128" i="1"/>
  <c r="M128" i="1" s="1"/>
  <c r="I128" i="1"/>
  <c r="J128" i="1" s="1"/>
  <c r="U125" i="1"/>
  <c r="U127" i="1"/>
  <c r="L127" i="1"/>
  <c r="U126" i="1"/>
  <c r="L126" i="1"/>
  <c r="L125" i="1"/>
  <c r="U124" i="1"/>
  <c r="L124" i="1"/>
  <c r="U123" i="1"/>
  <c r="R123" i="1"/>
  <c r="L123" i="1"/>
  <c r="U122" i="1"/>
  <c r="R122" i="1"/>
  <c r="L122" i="1"/>
  <c r="M122" i="1" s="1"/>
  <c r="N122" i="1" s="1"/>
  <c r="I122" i="1"/>
  <c r="J122" i="1" s="1"/>
  <c r="U121" i="1"/>
  <c r="R121" i="1"/>
  <c r="L121" i="1"/>
  <c r="U120" i="1"/>
  <c r="R120" i="1"/>
  <c r="L120" i="1"/>
  <c r="L119" i="1"/>
  <c r="U118" i="1"/>
  <c r="L118" i="1"/>
  <c r="U117" i="1"/>
  <c r="R117" i="1"/>
  <c r="L117" i="1"/>
  <c r="U116" i="1"/>
  <c r="R116" i="1"/>
  <c r="L116" i="1"/>
  <c r="M116" i="1" s="1"/>
  <c r="N116" i="1" s="1"/>
  <c r="I116" i="1"/>
  <c r="J116" i="1" s="1"/>
  <c r="U115" i="1"/>
  <c r="R115" i="1"/>
  <c r="L115" i="1"/>
  <c r="U114" i="1"/>
  <c r="R114" i="1"/>
  <c r="L114" i="1"/>
  <c r="L113" i="1"/>
  <c r="U112" i="1"/>
  <c r="L112" i="1"/>
  <c r="U111" i="1"/>
  <c r="R111" i="1"/>
  <c r="L111" i="1"/>
  <c r="U110" i="1"/>
  <c r="R110" i="1"/>
  <c r="L110" i="1"/>
  <c r="M110" i="1" s="1"/>
  <c r="N110" i="1" s="1"/>
  <c r="I110" i="1"/>
  <c r="J110" i="1" s="1"/>
  <c r="U109" i="1"/>
  <c r="R109" i="1"/>
  <c r="L109" i="1"/>
  <c r="U108" i="1"/>
  <c r="R108" i="1"/>
  <c r="L108" i="1"/>
  <c r="U107" i="1"/>
  <c r="L107" i="1"/>
  <c r="U106" i="1"/>
  <c r="L106" i="1"/>
  <c r="U105" i="1"/>
  <c r="R105" i="1"/>
  <c r="L105" i="1"/>
  <c r="U104" i="1"/>
  <c r="R104" i="1"/>
  <c r="L104" i="1"/>
  <c r="M104" i="1" s="1"/>
  <c r="N104" i="1" s="1"/>
  <c r="I104" i="1"/>
  <c r="U103" i="1"/>
  <c r="R103" i="1"/>
  <c r="L103" i="1"/>
  <c r="U102" i="1"/>
  <c r="R102" i="1"/>
  <c r="L102" i="1"/>
  <c r="L101" i="1"/>
  <c r="U100" i="1"/>
  <c r="L100" i="1"/>
  <c r="U99" i="1"/>
  <c r="R99" i="1"/>
  <c r="L99" i="1"/>
  <c r="M99" i="1" s="1"/>
  <c r="N99" i="1" s="1"/>
  <c r="I99" i="1"/>
  <c r="R98" i="1"/>
  <c r="U98" i="1"/>
  <c r="L98" i="1"/>
  <c r="U97" i="1"/>
  <c r="R97" i="1"/>
  <c r="L97" i="1"/>
  <c r="U96" i="1"/>
  <c r="L96" i="1"/>
  <c r="U95" i="1"/>
  <c r="R95" i="1"/>
  <c r="L95" i="1"/>
  <c r="U94" i="1"/>
  <c r="R94" i="1"/>
  <c r="L94" i="1"/>
  <c r="M94" i="1" s="1"/>
  <c r="N94" i="1" s="1"/>
  <c r="I94" i="1"/>
  <c r="U93" i="1"/>
  <c r="R93" i="1"/>
  <c r="L93" i="1"/>
  <c r="U92" i="1"/>
  <c r="R92" i="1"/>
  <c r="L92" i="1"/>
  <c r="L91" i="1"/>
  <c r="U90" i="1"/>
  <c r="R90" i="1"/>
  <c r="L90" i="1"/>
  <c r="U89" i="1"/>
  <c r="R89" i="1"/>
  <c r="L89" i="1"/>
  <c r="M89" i="1" s="1"/>
  <c r="N89" i="1" s="1"/>
  <c r="I89" i="1"/>
  <c r="U88" i="1"/>
  <c r="R88" i="1"/>
  <c r="L88" i="1"/>
  <c r="U87" i="1"/>
  <c r="R87" i="1"/>
  <c r="L87" i="1"/>
  <c r="U86" i="1"/>
  <c r="L86" i="1"/>
  <c r="U85" i="1"/>
  <c r="R85" i="1"/>
  <c r="L85" i="1"/>
  <c r="U84" i="1"/>
  <c r="R84" i="1"/>
  <c r="L84" i="1"/>
  <c r="M84" i="1" s="1"/>
  <c r="N84" i="1" s="1"/>
  <c r="I84" i="1"/>
  <c r="U83" i="1"/>
  <c r="R83" i="1"/>
  <c r="L83" i="1"/>
  <c r="U82" i="1"/>
  <c r="R82" i="1"/>
  <c r="L82" i="1"/>
  <c r="U81" i="1"/>
  <c r="L81" i="1"/>
  <c r="U80" i="1"/>
  <c r="L80" i="1"/>
  <c r="U79" i="1"/>
  <c r="R79" i="1"/>
  <c r="L79" i="1"/>
  <c r="U78" i="1"/>
  <c r="R78" i="1"/>
  <c r="L78" i="1"/>
  <c r="M78" i="1" s="1"/>
  <c r="N78" i="1" s="1"/>
  <c r="I78" i="1"/>
  <c r="U77" i="1"/>
  <c r="R77" i="1"/>
  <c r="L77" i="1"/>
  <c r="U76" i="1"/>
  <c r="R76" i="1"/>
  <c r="L76" i="1"/>
  <c r="U75" i="1"/>
  <c r="L75" i="1"/>
  <c r="U74" i="1"/>
  <c r="L74" i="1"/>
  <c r="U73" i="1"/>
  <c r="R73" i="1"/>
  <c r="L73" i="1"/>
  <c r="U72" i="1"/>
  <c r="R72" i="1"/>
  <c r="L72" i="1"/>
  <c r="M72" i="1" s="1"/>
  <c r="N72" i="1" s="1"/>
  <c r="I72" i="1"/>
  <c r="U31" i="1"/>
  <c r="R31" i="1"/>
  <c r="AC31" i="1" s="1"/>
  <c r="AB31" i="1" s="1"/>
  <c r="L31" i="1"/>
  <c r="U30" i="1"/>
  <c r="L30" i="1"/>
  <c r="U29" i="1"/>
  <c r="L29" i="1"/>
  <c r="U28" i="1"/>
  <c r="R28" i="1"/>
  <c r="L28" i="1"/>
  <c r="U27" i="1"/>
  <c r="R27" i="1"/>
  <c r="L27" i="1"/>
  <c r="U26" i="1"/>
  <c r="R26" i="1"/>
  <c r="L26" i="1"/>
  <c r="M26" i="1" s="1"/>
  <c r="N26" i="1" s="1"/>
  <c r="I26" i="1"/>
  <c r="J26" i="1" s="1"/>
  <c r="U71" i="1"/>
  <c r="R71" i="1"/>
  <c r="L71" i="1"/>
  <c r="U70" i="1"/>
  <c r="R70" i="1"/>
  <c r="L70" i="1"/>
  <c r="U69" i="1"/>
  <c r="L69" i="1"/>
  <c r="U68" i="1"/>
  <c r="R68" i="1"/>
  <c r="L68" i="1"/>
  <c r="U67" i="1"/>
  <c r="R67" i="1"/>
  <c r="L67" i="1"/>
  <c r="U66" i="1"/>
  <c r="R66" i="1"/>
  <c r="L66" i="1"/>
  <c r="M66" i="1" s="1"/>
  <c r="N66" i="1" s="1"/>
  <c r="I66" i="1"/>
  <c r="J66" i="1" s="1"/>
  <c r="U65" i="1"/>
  <c r="R65" i="1"/>
  <c r="L65" i="1"/>
  <c r="U64" i="1"/>
  <c r="R64" i="1"/>
  <c r="L64" i="1"/>
  <c r="U63" i="1"/>
  <c r="L63" i="1"/>
  <c r="U62" i="1"/>
  <c r="R62" i="1"/>
  <c r="L62" i="1"/>
  <c r="U61" i="1"/>
  <c r="R61" i="1"/>
  <c r="L61" i="1"/>
  <c r="U60" i="1"/>
  <c r="R60" i="1"/>
  <c r="L60" i="1"/>
  <c r="M60" i="1" s="1"/>
  <c r="N60" i="1" s="1"/>
  <c r="I60" i="1"/>
  <c r="U59" i="1"/>
  <c r="R59" i="1"/>
  <c r="L59" i="1"/>
  <c r="U58" i="1"/>
  <c r="R58" i="1"/>
  <c r="L58" i="1"/>
  <c r="U57" i="1"/>
  <c r="R57" i="1"/>
  <c r="L57" i="1"/>
  <c r="U56" i="1"/>
  <c r="R56" i="1"/>
  <c r="L56" i="1"/>
  <c r="U55" i="1"/>
  <c r="R55" i="1"/>
  <c r="L55" i="1"/>
  <c r="U54" i="1"/>
  <c r="R54" i="1"/>
  <c r="L54" i="1"/>
  <c r="M54" i="1" s="1"/>
  <c r="N54" i="1" s="1"/>
  <c r="I54" i="1"/>
  <c r="U53" i="1"/>
  <c r="R53" i="1"/>
  <c r="L53" i="1"/>
  <c r="U52" i="1"/>
  <c r="R52" i="1"/>
  <c r="L52" i="1"/>
  <c r="L51" i="1"/>
  <c r="L50" i="1"/>
  <c r="L49" i="1"/>
  <c r="U48" i="1"/>
  <c r="R48" i="1"/>
  <c r="L48" i="1"/>
  <c r="M48" i="1" s="1"/>
  <c r="N48" i="1" s="1"/>
  <c r="I48" i="1"/>
  <c r="J48" i="1" s="1"/>
  <c r="U47" i="1"/>
  <c r="R47" i="1"/>
  <c r="L47" i="1"/>
  <c r="U46" i="1"/>
  <c r="R46" i="1"/>
  <c r="AC46" i="1" s="1"/>
  <c r="AB46" i="1" s="1"/>
  <c r="L46" i="1"/>
  <c r="L45" i="1"/>
  <c r="L44" i="1"/>
  <c r="U43" i="1"/>
  <c r="L43" i="1"/>
  <c r="U42" i="1"/>
  <c r="R42" i="1"/>
  <c r="L42" i="1"/>
  <c r="M42" i="1" s="1"/>
  <c r="N42" i="1" s="1"/>
  <c r="I42" i="1"/>
  <c r="J42" i="1" s="1"/>
  <c r="U41" i="1"/>
  <c r="R41" i="1"/>
  <c r="L41" i="1"/>
  <c r="U40" i="1"/>
  <c r="R40" i="1"/>
  <c r="L40" i="1"/>
  <c r="U39" i="1"/>
  <c r="R39" i="1"/>
  <c r="L39" i="1"/>
  <c r="U38" i="1"/>
  <c r="R38" i="1"/>
  <c r="L38" i="1"/>
  <c r="U37" i="1"/>
  <c r="R37" i="1"/>
  <c r="L37" i="1"/>
  <c r="U36" i="1"/>
  <c r="R36" i="1"/>
  <c r="L36" i="1"/>
  <c r="M36" i="1" s="1"/>
  <c r="N36" i="1" s="1"/>
  <c r="I36" i="1"/>
  <c r="J36" i="1" s="1"/>
  <c r="R35" i="1"/>
  <c r="U35" i="1"/>
  <c r="L35" i="1"/>
  <c r="U34" i="1"/>
  <c r="R34" i="1"/>
  <c r="L34" i="1"/>
  <c r="U33" i="1"/>
  <c r="R33" i="1"/>
  <c r="L33" i="1"/>
  <c r="U32" i="1"/>
  <c r="R32" i="1"/>
  <c r="L32" i="1"/>
  <c r="M32" i="1" s="1"/>
  <c r="I32" i="1"/>
  <c r="J32" i="1" s="1"/>
  <c r="U13" i="1"/>
  <c r="R13" i="1"/>
  <c r="L13" i="1"/>
  <c r="U12" i="1"/>
  <c r="R12" i="1"/>
  <c r="L12" i="1"/>
  <c r="U11" i="1"/>
  <c r="R11" i="1"/>
  <c r="L11" i="1"/>
  <c r="L10" i="1"/>
  <c r="U9" i="1"/>
  <c r="L9" i="1"/>
  <c r="U8" i="1"/>
  <c r="R8" i="1"/>
  <c r="L8" i="1"/>
  <c r="M8" i="1" s="1"/>
  <c r="I8" i="1"/>
  <c r="J8" i="1" s="1"/>
  <c r="U19" i="1"/>
  <c r="R19" i="1"/>
  <c r="L19" i="1"/>
  <c r="U18" i="1"/>
  <c r="R18" i="1"/>
  <c r="L18" i="1"/>
  <c r="U17" i="1"/>
  <c r="R17" i="1"/>
  <c r="L17" i="1"/>
  <c r="L16" i="1"/>
  <c r="U15" i="1"/>
  <c r="L15" i="1"/>
  <c r="U14" i="1"/>
  <c r="R14" i="1"/>
  <c r="L14" i="1"/>
  <c r="M14" i="1" s="1"/>
  <c r="I14" i="1"/>
  <c r="J14" i="1" s="1"/>
  <c r="R21" i="1"/>
  <c r="R20" i="1"/>
  <c r="R22" i="1"/>
  <c r="U23" i="1"/>
  <c r="R23" i="1"/>
  <c r="U22" i="1"/>
  <c r="O280" i="1" l="1"/>
  <c r="J280" i="1"/>
  <c r="Y280" i="1" s="1"/>
  <c r="AC280" i="1"/>
  <c r="AB280" i="1" s="1"/>
  <c r="AC164" i="1"/>
  <c r="AB164" i="1" s="1"/>
  <c r="O311" i="1"/>
  <c r="O308" i="1"/>
  <c r="J308" i="1"/>
  <c r="Y308" i="1" s="1"/>
  <c r="AC308" i="1"/>
  <c r="AB308" i="1" s="1"/>
  <c r="AC301" i="1"/>
  <c r="AB301" i="1" s="1"/>
  <c r="O298" i="1"/>
  <c r="Y311" i="1"/>
  <c r="N311" i="1"/>
  <c r="AC311" i="1" s="1"/>
  <c r="AB311" i="1" s="1"/>
  <c r="Y304" i="1"/>
  <c r="AA304" i="1" s="1"/>
  <c r="Y305" i="1" s="1"/>
  <c r="O304" i="1"/>
  <c r="N304" i="1"/>
  <c r="AC304" i="1" s="1"/>
  <c r="O301" i="1"/>
  <c r="J301" i="1"/>
  <c r="Y301" i="1" s="1"/>
  <c r="J298" i="1"/>
  <c r="Y298" i="1" s="1"/>
  <c r="AC298" i="1"/>
  <c r="AB298" i="1" s="1"/>
  <c r="Y292" i="1"/>
  <c r="Z292" i="1" s="1"/>
  <c r="AC287" i="1"/>
  <c r="AB287" i="1" s="1"/>
  <c r="N295" i="1"/>
  <c r="AC295" i="1" s="1"/>
  <c r="AB295" i="1" s="1"/>
  <c r="O295" i="1"/>
  <c r="Y295" i="1"/>
  <c r="AC292" i="1"/>
  <c r="AB292" i="1" s="1"/>
  <c r="O292" i="1"/>
  <c r="N289" i="1"/>
  <c r="AC289" i="1" s="1"/>
  <c r="O289" i="1"/>
  <c r="Y289" i="1"/>
  <c r="O286" i="1"/>
  <c r="J286" i="1"/>
  <c r="Y286" i="1" s="1"/>
  <c r="AC267" i="1"/>
  <c r="AC268" i="1" s="1"/>
  <c r="O269" i="1"/>
  <c r="O283" i="1"/>
  <c r="J283" i="1"/>
  <c r="Y283" i="1" s="1"/>
  <c r="AC283" i="1"/>
  <c r="AB283" i="1" s="1"/>
  <c r="O277" i="1"/>
  <c r="J277" i="1"/>
  <c r="Y277" i="1" s="1"/>
  <c r="AC277" i="1"/>
  <c r="AB277" i="1" s="1"/>
  <c r="O274" i="1"/>
  <c r="J274" i="1"/>
  <c r="Y274" i="1" s="1"/>
  <c r="AC274" i="1"/>
  <c r="AB274" i="1" s="1"/>
  <c r="O271" i="1"/>
  <c r="J271" i="1"/>
  <c r="Y271" i="1" s="1"/>
  <c r="AC271" i="1"/>
  <c r="AB271" i="1" s="1"/>
  <c r="J269" i="1"/>
  <c r="Y269" i="1" s="1"/>
  <c r="AC269" i="1"/>
  <c r="AB269" i="1" s="1"/>
  <c r="Y264" i="1"/>
  <c r="Z264" i="1" s="1"/>
  <c r="O267" i="1"/>
  <c r="Y267" i="1"/>
  <c r="AC264" i="1"/>
  <c r="AB264" i="1" s="1"/>
  <c r="O264" i="1"/>
  <c r="O263" i="1"/>
  <c r="J263" i="1"/>
  <c r="Y263" i="1" s="1"/>
  <c r="AC263" i="1"/>
  <c r="AB263" i="1" s="1"/>
  <c r="O260" i="1"/>
  <c r="J260" i="1"/>
  <c r="Y260" i="1" s="1"/>
  <c r="AC260" i="1"/>
  <c r="AB260" i="1" s="1"/>
  <c r="O257" i="1"/>
  <c r="J257" i="1"/>
  <c r="Y257" i="1" s="1"/>
  <c r="AC257" i="1"/>
  <c r="AB257" i="1" s="1"/>
  <c r="O254" i="1"/>
  <c r="J254" i="1"/>
  <c r="Y254" i="1" s="1"/>
  <c r="AC254" i="1"/>
  <c r="AB254" i="1" s="1"/>
  <c r="O251" i="1"/>
  <c r="J251" i="1"/>
  <c r="Y251" i="1" s="1"/>
  <c r="AC251" i="1"/>
  <c r="AB251" i="1" s="1"/>
  <c r="O250" i="1"/>
  <c r="J250" i="1"/>
  <c r="Y250" i="1" s="1"/>
  <c r="AC250" i="1"/>
  <c r="AB250" i="1" s="1"/>
  <c r="Y241" i="1"/>
  <c r="Z241" i="1" s="1"/>
  <c r="O247" i="1"/>
  <c r="J247" i="1"/>
  <c r="Y247" i="1" s="1"/>
  <c r="AC247" i="1"/>
  <c r="AB247" i="1" s="1"/>
  <c r="O243" i="1"/>
  <c r="J243" i="1"/>
  <c r="Y243" i="1" s="1"/>
  <c r="AC243" i="1"/>
  <c r="AB243" i="1" s="1"/>
  <c r="O241" i="1"/>
  <c r="AC241" i="1"/>
  <c r="AB241" i="1" s="1"/>
  <c r="O238" i="1"/>
  <c r="J238" i="1"/>
  <c r="Y238" i="1" s="1"/>
  <c r="AC238" i="1"/>
  <c r="AB238" i="1" s="1"/>
  <c r="O234" i="1"/>
  <c r="J234" i="1"/>
  <c r="Y234" i="1" s="1"/>
  <c r="AC234" i="1"/>
  <c r="AB234" i="1" s="1"/>
  <c r="O231" i="1"/>
  <c r="J231" i="1"/>
  <c r="Y231" i="1" s="1"/>
  <c r="AC231" i="1"/>
  <c r="AB231" i="1" s="1"/>
  <c r="O229" i="1"/>
  <c r="J229" i="1"/>
  <c r="Y229" i="1" s="1"/>
  <c r="AC229" i="1"/>
  <c r="AB229" i="1" s="1"/>
  <c r="O226" i="1"/>
  <c r="J226" i="1"/>
  <c r="Y226" i="1" s="1"/>
  <c r="AC226" i="1"/>
  <c r="AB226" i="1" s="1"/>
  <c r="Y222" i="1"/>
  <c r="Z222" i="1" s="1"/>
  <c r="O222" i="1"/>
  <c r="AC222" i="1"/>
  <c r="AB222" i="1" s="1"/>
  <c r="O219" i="1"/>
  <c r="AC219" i="1"/>
  <c r="J219" i="1"/>
  <c r="Y219" i="1" s="1"/>
  <c r="Y213" i="1"/>
  <c r="Z213" i="1" s="1"/>
  <c r="O213" i="1"/>
  <c r="AC213" i="1"/>
  <c r="AB213" i="1" s="1"/>
  <c r="Y207" i="1"/>
  <c r="AA207" i="1" s="1"/>
  <c r="Y208" i="1" s="1"/>
  <c r="AC207" i="1"/>
  <c r="AB207" i="1" s="1"/>
  <c r="O207" i="1"/>
  <c r="Y204" i="1"/>
  <c r="Z204" i="1" s="1"/>
  <c r="AC204" i="1"/>
  <c r="AB204" i="1" s="1"/>
  <c r="O204" i="1"/>
  <c r="Y186" i="1"/>
  <c r="Z186" i="1" s="1"/>
  <c r="AC192" i="1"/>
  <c r="AB192" i="1" s="1"/>
  <c r="AC186" i="1"/>
  <c r="O186" i="1"/>
  <c r="AC198" i="1"/>
  <c r="AB198" i="1" s="1"/>
  <c r="Y181" i="1"/>
  <c r="Z181" i="1" s="1"/>
  <c r="Y198" i="1"/>
  <c r="AA198" i="1" s="1"/>
  <c r="Y184" i="1"/>
  <c r="AA184" i="1" s="1"/>
  <c r="AC185" i="1"/>
  <c r="AB185" i="1" s="1"/>
  <c r="Y192" i="1"/>
  <c r="AA192" i="1" s="1"/>
  <c r="O198" i="1"/>
  <c r="O192" i="1"/>
  <c r="AC181" i="1"/>
  <c r="AB181" i="1" s="1"/>
  <c r="O181" i="1"/>
  <c r="Y185" i="1"/>
  <c r="AC182" i="1"/>
  <c r="AB182" i="1" s="1"/>
  <c r="O175" i="1"/>
  <c r="AC175" i="1"/>
  <c r="AB175" i="1" s="1"/>
  <c r="J175" i="1"/>
  <c r="Y175" i="1" s="1"/>
  <c r="O158" i="1"/>
  <c r="AC158" i="1"/>
  <c r="J158" i="1"/>
  <c r="Y158" i="1" s="1"/>
  <c r="O164" i="1"/>
  <c r="J164" i="1"/>
  <c r="Y164" i="1" s="1"/>
  <c r="Y122" i="1"/>
  <c r="AA122" i="1" s="1"/>
  <c r="Y123" i="1" s="1"/>
  <c r="O152" i="1"/>
  <c r="J152" i="1"/>
  <c r="Y152" i="1" s="1"/>
  <c r="AC152" i="1"/>
  <c r="AB152" i="1" s="1"/>
  <c r="Y146" i="1"/>
  <c r="AA146" i="1" s="1"/>
  <c r="Y147" i="1" s="1"/>
  <c r="AC146" i="1"/>
  <c r="O146" i="1"/>
  <c r="O140" i="1"/>
  <c r="J140" i="1"/>
  <c r="Y140" i="1" s="1"/>
  <c r="AC140" i="1"/>
  <c r="AB140" i="1" s="1"/>
  <c r="O134" i="1"/>
  <c r="J134" i="1"/>
  <c r="Y134" i="1" s="1"/>
  <c r="AC134" i="1"/>
  <c r="AB134" i="1" s="1"/>
  <c r="O128" i="1"/>
  <c r="N128" i="1"/>
  <c r="AC128" i="1" s="1"/>
  <c r="Y128" i="1"/>
  <c r="AC122" i="1"/>
  <c r="AB122" i="1" s="1"/>
  <c r="O122" i="1"/>
  <c r="Y116" i="1"/>
  <c r="Z116" i="1" s="1"/>
  <c r="AC109" i="1"/>
  <c r="AB109" i="1" s="1"/>
  <c r="AC115" i="1"/>
  <c r="AB115" i="1" s="1"/>
  <c r="AC121" i="1"/>
  <c r="AB121" i="1" s="1"/>
  <c r="Y114" i="1"/>
  <c r="AA114" i="1" s="1"/>
  <c r="Y110" i="1"/>
  <c r="Z110" i="1" s="1"/>
  <c r="Y120" i="1"/>
  <c r="AC116" i="1"/>
  <c r="AB116" i="1" s="1"/>
  <c r="Y121" i="1"/>
  <c r="O116" i="1"/>
  <c r="AC120" i="1"/>
  <c r="AB120" i="1" s="1"/>
  <c r="Y115" i="1"/>
  <c r="AC110" i="1"/>
  <c r="AB110" i="1" s="1"/>
  <c r="O110" i="1"/>
  <c r="AC114" i="1"/>
  <c r="AB114" i="1" s="1"/>
  <c r="AC103" i="1"/>
  <c r="AB103" i="1" s="1"/>
  <c r="AC98" i="1"/>
  <c r="AB98" i="1" s="1"/>
  <c r="AC71" i="1"/>
  <c r="AB71" i="1" s="1"/>
  <c r="AC93" i="1"/>
  <c r="AB93" i="1" s="1"/>
  <c r="Y102" i="1"/>
  <c r="AA102" i="1" s="1"/>
  <c r="AC88" i="1"/>
  <c r="AB88" i="1" s="1"/>
  <c r="Y92" i="1"/>
  <c r="AA92" i="1" s="1"/>
  <c r="Y97" i="1"/>
  <c r="AA97" i="1" s="1"/>
  <c r="Y108" i="1"/>
  <c r="AA108" i="1" s="1"/>
  <c r="Y98" i="1"/>
  <c r="AA98" i="1" s="1"/>
  <c r="AC104" i="1"/>
  <c r="AB104" i="1" s="1"/>
  <c r="O104" i="1"/>
  <c r="Y109" i="1"/>
  <c r="J104" i="1"/>
  <c r="Y104" i="1" s="1"/>
  <c r="AC108" i="1"/>
  <c r="AB108" i="1" s="1"/>
  <c r="O99" i="1"/>
  <c r="Y103" i="1"/>
  <c r="J99" i="1"/>
  <c r="Y99" i="1" s="1"/>
  <c r="AC99" i="1"/>
  <c r="AB99" i="1" s="1"/>
  <c r="AC102" i="1"/>
  <c r="AB102" i="1" s="1"/>
  <c r="O94" i="1"/>
  <c r="J94" i="1"/>
  <c r="Y94" i="1" s="1"/>
  <c r="AC94" i="1"/>
  <c r="AB94" i="1" s="1"/>
  <c r="AC97" i="1"/>
  <c r="AB97" i="1" s="1"/>
  <c r="O89" i="1"/>
  <c r="J89" i="1"/>
  <c r="Y89" i="1" s="1"/>
  <c r="Y93" i="1"/>
  <c r="AC89" i="1"/>
  <c r="AB89" i="1" s="1"/>
  <c r="AC92" i="1"/>
  <c r="AB92" i="1" s="1"/>
  <c r="Y87" i="1"/>
  <c r="AA87" i="1" s="1"/>
  <c r="O84" i="1"/>
  <c r="Y88" i="1"/>
  <c r="J84" i="1"/>
  <c r="Y84" i="1" s="1"/>
  <c r="AC84" i="1"/>
  <c r="AB84" i="1" s="1"/>
  <c r="AC87" i="1"/>
  <c r="AB87" i="1" s="1"/>
  <c r="AC83" i="1"/>
  <c r="AB83" i="1" s="1"/>
  <c r="AC77" i="1"/>
  <c r="AB77" i="1" s="1"/>
  <c r="AC78" i="1"/>
  <c r="AB78" i="1" s="1"/>
  <c r="O78" i="1"/>
  <c r="Y82" i="1"/>
  <c r="Y83" i="1"/>
  <c r="J78" i="1"/>
  <c r="Y78" i="1" s="1"/>
  <c r="AC82" i="1"/>
  <c r="AB82" i="1" s="1"/>
  <c r="O72" i="1"/>
  <c r="Y76" i="1"/>
  <c r="Y77" i="1"/>
  <c r="AC72" i="1"/>
  <c r="AB72" i="1" s="1"/>
  <c r="J72" i="1"/>
  <c r="Y72" i="1" s="1"/>
  <c r="AC76" i="1"/>
  <c r="AB76" i="1" s="1"/>
  <c r="Y26" i="1"/>
  <c r="Z26" i="1" s="1"/>
  <c r="AC26" i="1"/>
  <c r="AB26" i="1" s="1"/>
  <c r="Y31" i="1"/>
  <c r="O26" i="1"/>
  <c r="AC65" i="1"/>
  <c r="AB65" i="1" s="1"/>
  <c r="AC40" i="1"/>
  <c r="AB40" i="1" s="1"/>
  <c r="Y42" i="1"/>
  <c r="Z42" i="1" s="1"/>
  <c r="Y71" i="1"/>
  <c r="Z71" i="1" s="1"/>
  <c r="AC66" i="1"/>
  <c r="AB66" i="1" s="1"/>
  <c r="AC53" i="1"/>
  <c r="AB53" i="1" s="1"/>
  <c r="Y58" i="1"/>
  <c r="Z58" i="1" s="1"/>
  <c r="AC18" i="1"/>
  <c r="AB18" i="1" s="1"/>
  <c r="AC47" i="1"/>
  <c r="AB47" i="1" s="1"/>
  <c r="AC59" i="1"/>
  <c r="AB59" i="1" s="1"/>
  <c r="AC64" i="1"/>
  <c r="AB64" i="1" s="1"/>
  <c r="Y66" i="1"/>
  <c r="AA66" i="1" s="1"/>
  <c r="Y67" i="1" s="1"/>
  <c r="AC12" i="1"/>
  <c r="AB12" i="1" s="1"/>
  <c r="Y52" i="1"/>
  <c r="AA52" i="1" s="1"/>
  <c r="AC41" i="1"/>
  <c r="AB41" i="1" s="1"/>
  <c r="Y70" i="1"/>
  <c r="AA70" i="1" s="1"/>
  <c r="Y36" i="1"/>
  <c r="AA36" i="1" s="1"/>
  <c r="Y37" i="1" s="1"/>
  <c r="AC58" i="1"/>
  <c r="AB58" i="1" s="1"/>
  <c r="O66" i="1"/>
  <c r="AC70" i="1"/>
  <c r="AB70" i="1" s="1"/>
  <c r="O60" i="1"/>
  <c r="Y64" i="1"/>
  <c r="J60" i="1"/>
  <c r="Y60" i="1" s="1"/>
  <c r="AC60" i="1"/>
  <c r="AB60" i="1" s="1"/>
  <c r="Y65" i="1"/>
  <c r="O54" i="1"/>
  <c r="AC54" i="1"/>
  <c r="AB54" i="1" s="1"/>
  <c r="Y59" i="1"/>
  <c r="J54" i="1"/>
  <c r="Y54" i="1" s="1"/>
  <c r="AC48" i="1"/>
  <c r="AB48" i="1" s="1"/>
  <c r="Y53" i="1"/>
  <c r="O48" i="1"/>
  <c r="AC52" i="1"/>
  <c r="AB52" i="1" s="1"/>
  <c r="Y48" i="1"/>
  <c r="AC43" i="1"/>
  <c r="AB43" i="1" s="1"/>
  <c r="Y46" i="1"/>
  <c r="AC42" i="1"/>
  <c r="AB42" i="1" s="1"/>
  <c r="Y47" i="1"/>
  <c r="O42" i="1"/>
  <c r="Y40" i="1"/>
  <c r="AC36" i="1"/>
  <c r="AB36" i="1" s="1"/>
  <c r="Y41" i="1"/>
  <c r="O36" i="1"/>
  <c r="Y32" i="1"/>
  <c r="AA32" i="1" s="1"/>
  <c r="Y33" i="1" s="1"/>
  <c r="N32" i="1"/>
  <c r="AC32" i="1" s="1"/>
  <c r="AB32" i="1" s="1"/>
  <c r="O32" i="1"/>
  <c r="AC13" i="1"/>
  <c r="AB13" i="1" s="1"/>
  <c r="Y12" i="1"/>
  <c r="AA12" i="1" s="1"/>
  <c r="AC19" i="1"/>
  <c r="AB19" i="1" s="1"/>
  <c r="Y11" i="1"/>
  <c r="O8" i="1"/>
  <c r="N8" i="1"/>
  <c r="AC8" i="1" s="1"/>
  <c r="AB8" i="1" s="1"/>
  <c r="Y13" i="1"/>
  <c r="Y8" i="1"/>
  <c r="AC11" i="1"/>
  <c r="AB11" i="1" s="1"/>
  <c r="Y19" i="1"/>
  <c r="Z19" i="1" s="1"/>
  <c r="Y17" i="1"/>
  <c r="Z17" i="1" s="1"/>
  <c r="AC17" i="1"/>
  <c r="AB17" i="1" s="1"/>
  <c r="Y18" i="1"/>
  <c r="AA18" i="1" s="1"/>
  <c r="N14" i="1"/>
  <c r="AC15" i="1" s="1"/>
  <c r="AB15" i="1" s="1"/>
  <c r="O14" i="1"/>
  <c r="Y14" i="1"/>
  <c r="AC23" i="1"/>
  <c r="AB23" i="1" s="1"/>
  <c r="AA280" i="1" l="1"/>
  <c r="Y281" i="1" s="1"/>
  <c r="Z280" i="1"/>
  <c r="AD280" i="1" s="1"/>
  <c r="AC281" i="1"/>
  <c r="AB281" i="1" s="1"/>
  <c r="Z164" i="1"/>
  <c r="AD164" i="1" s="1"/>
  <c r="AA164" i="1"/>
  <c r="AC165" i="1"/>
  <c r="AB165" i="1" s="1"/>
  <c r="AC309" i="1"/>
  <c r="AB309" i="1" s="1"/>
  <c r="AA308" i="1"/>
  <c r="Y309" i="1" s="1"/>
  <c r="Z308" i="1"/>
  <c r="AD308" i="1" s="1"/>
  <c r="AC302" i="1"/>
  <c r="AB302" i="1" s="1"/>
  <c r="AA311" i="1"/>
  <c r="Y312" i="1" s="1"/>
  <c r="Z311" i="1"/>
  <c r="AD311" i="1" s="1"/>
  <c r="AC312" i="1"/>
  <c r="Z304" i="1"/>
  <c r="AC305" i="1"/>
  <c r="AB304" i="1"/>
  <c r="Z305" i="1"/>
  <c r="AA305" i="1"/>
  <c r="Y306" i="1" s="1"/>
  <c r="AA301" i="1"/>
  <c r="Y302" i="1" s="1"/>
  <c r="Z301" i="1"/>
  <c r="AD301" i="1" s="1"/>
  <c r="AA298" i="1"/>
  <c r="Y299" i="1" s="1"/>
  <c r="Z298" i="1"/>
  <c r="AD298" i="1" s="1"/>
  <c r="AC299" i="1"/>
  <c r="AA292" i="1"/>
  <c r="Y293" i="1" s="1"/>
  <c r="AA293" i="1" s="1"/>
  <c r="Y294" i="1" s="1"/>
  <c r="AA295" i="1"/>
  <c r="Z295" i="1"/>
  <c r="AD295" i="1" s="1"/>
  <c r="AD292" i="1"/>
  <c r="AC293" i="1"/>
  <c r="AB293" i="1" s="1"/>
  <c r="AB289" i="1"/>
  <c r="AC290" i="1"/>
  <c r="AB290" i="1" s="1"/>
  <c r="AA289" i="1"/>
  <c r="Y290" i="1" s="1"/>
  <c r="Z289" i="1"/>
  <c r="AA286" i="1"/>
  <c r="Y287" i="1" s="1"/>
  <c r="Z287" i="1" s="1"/>
  <c r="AD287" i="1" s="1"/>
  <c r="Z286" i="1"/>
  <c r="AD286" i="1" s="1"/>
  <c r="AA241" i="1"/>
  <c r="Y242" i="1" s="1"/>
  <c r="AA242" i="1" s="1"/>
  <c r="AB267" i="1"/>
  <c r="AA264" i="1"/>
  <c r="Y265" i="1" s="1"/>
  <c r="Z265" i="1" s="1"/>
  <c r="AA283" i="1"/>
  <c r="Z283" i="1"/>
  <c r="AD283" i="1" s="1"/>
  <c r="AA277" i="1"/>
  <c r="Y278" i="1" s="1"/>
  <c r="Z277" i="1"/>
  <c r="AD277" i="1" s="1"/>
  <c r="AC279" i="1"/>
  <c r="AB279" i="1" s="1"/>
  <c r="AC278" i="1"/>
  <c r="AB278" i="1" s="1"/>
  <c r="AA274" i="1"/>
  <c r="Z274" i="1"/>
  <c r="AD274" i="1" s="1"/>
  <c r="AA271" i="1"/>
  <c r="Y272" i="1" s="1"/>
  <c r="Z271" i="1"/>
  <c r="AD271" i="1" s="1"/>
  <c r="AC272" i="1"/>
  <c r="AA269" i="1"/>
  <c r="Y270" i="1" s="1"/>
  <c r="Z269" i="1"/>
  <c r="AD269" i="1" s="1"/>
  <c r="AC270" i="1"/>
  <c r="AB270" i="1" s="1"/>
  <c r="AB268" i="1"/>
  <c r="AA267" i="1"/>
  <c r="Y268" i="1" s="1"/>
  <c r="Z267" i="1"/>
  <c r="AD264" i="1"/>
  <c r="AC265" i="1"/>
  <c r="AB265" i="1" s="1"/>
  <c r="AC262" i="1"/>
  <c r="AB262" i="1" s="1"/>
  <c r="AA263" i="1"/>
  <c r="Z263" i="1"/>
  <c r="AD263" i="1" s="1"/>
  <c r="AA260" i="1"/>
  <c r="Y261" i="1" s="1"/>
  <c r="Z260" i="1"/>
  <c r="AD260" i="1" s="1"/>
  <c r="AC261" i="1"/>
  <c r="AB261" i="1" s="1"/>
  <c r="AC259" i="1"/>
  <c r="AB259" i="1" s="1"/>
  <c r="AA257" i="1"/>
  <c r="Y258" i="1" s="1"/>
  <c r="Z257" i="1"/>
  <c r="AD257" i="1" s="1"/>
  <c r="AC258" i="1"/>
  <c r="AB258" i="1" s="1"/>
  <c r="AA254" i="1"/>
  <c r="Y255" i="1" s="1"/>
  <c r="Z254" i="1"/>
  <c r="AD254" i="1" s="1"/>
  <c r="AC256" i="1"/>
  <c r="AB256" i="1" s="1"/>
  <c r="AC255" i="1"/>
  <c r="AB255" i="1" s="1"/>
  <c r="AA251" i="1"/>
  <c r="Y252" i="1" s="1"/>
  <c r="Z251" i="1"/>
  <c r="AD251" i="1" s="1"/>
  <c r="AC253" i="1"/>
  <c r="AB253" i="1" s="1"/>
  <c r="AC252" i="1"/>
  <c r="AB252" i="1" s="1"/>
  <c r="AA250" i="1"/>
  <c r="Z250" i="1"/>
  <c r="AD250" i="1" s="1"/>
  <c r="AA247" i="1"/>
  <c r="Y248" i="1" s="1"/>
  <c r="Z247" i="1"/>
  <c r="AD247" i="1" s="1"/>
  <c r="AC248" i="1"/>
  <c r="AC244" i="1"/>
  <c r="AB244" i="1" s="1"/>
  <c r="AA243" i="1"/>
  <c r="Y244" i="1" s="1"/>
  <c r="Z243" i="1"/>
  <c r="AD243" i="1" s="1"/>
  <c r="AC242" i="1"/>
  <c r="AB242" i="1" s="1"/>
  <c r="AD241" i="1"/>
  <c r="AA238" i="1"/>
  <c r="Y239" i="1" s="1"/>
  <c r="Z238" i="1"/>
  <c r="AD238" i="1" s="1"/>
  <c r="AC239" i="1"/>
  <c r="AB239" i="1" s="1"/>
  <c r="AC240" i="1"/>
  <c r="AB240" i="1" s="1"/>
  <c r="AC235" i="1"/>
  <c r="AA234" i="1"/>
  <c r="Y235" i="1" s="1"/>
  <c r="Z234" i="1"/>
  <c r="AD234" i="1" s="1"/>
  <c r="AC233" i="1"/>
  <c r="AB233" i="1" s="1"/>
  <c r="AA231" i="1"/>
  <c r="Y232" i="1" s="1"/>
  <c r="Z231" i="1"/>
  <c r="AD231" i="1" s="1"/>
  <c r="AC232" i="1"/>
  <c r="AB232" i="1" s="1"/>
  <c r="AA229" i="1"/>
  <c r="Y230" i="1" s="1"/>
  <c r="Z229" i="1"/>
  <c r="AD229" i="1" s="1"/>
  <c r="AC230" i="1"/>
  <c r="AB230" i="1" s="1"/>
  <c r="AA226" i="1"/>
  <c r="Y227" i="1" s="1"/>
  <c r="Z226" i="1"/>
  <c r="AD226" i="1" s="1"/>
  <c r="AC228" i="1"/>
  <c r="AB228" i="1" s="1"/>
  <c r="AC227" i="1"/>
  <c r="AB227" i="1" s="1"/>
  <c r="AA222" i="1"/>
  <c r="Y223" i="1" s="1"/>
  <c r="Z223" i="1" s="1"/>
  <c r="AC223" i="1"/>
  <c r="AD222" i="1"/>
  <c r="AA219" i="1"/>
  <c r="Y220" i="1" s="1"/>
  <c r="Z219" i="1"/>
  <c r="AB219" i="1"/>
  <c r="AC220" i="1"/>
  <c r="AC205" i="1"/>
  <c r="AB205" i="1" s="1"/>
  <c r="AC214" i="1"/>
  <c r="AA213" i="1"/>
  <c r="Y214" i="1" s="1"/>
  <c r="AA214" i="1" s="1"/>
  <c r="Y215" i="1" s="1"/>
  <c r="AD213" i="1"/>
  <c r="AC208" i="1"/>
  <c r="AB208" i="1" s="1"/>
  <c r="Z207" i="1"/>
  <c r="AD207" i="1" s="1"/>
  <c r="AA208" i="1"/>
  <c r="Y209" i="1" s="1"/>
  <c r="Z208" i="1"/>
  <c r="AC206" i="1"/>
  <c r="AB206" i="1" s="1"/>
  <c r="AC193" i="1"/>
  <c r="AB193" i="1" s="1"/>
  <c r="AD204" i="1"/>
  <c r="AA204" i="1"/>
  <c r="Y205" i="1" s="1"/>
  <c r="Z205" i="1" s="1"/>
  <c r="AC199" i="1"/>
  <c r="AB199" i="1" s="1"/>
  <c r="AA186" i="1"/>
  <c r="Y187" i="1" s="1"/>
  <c r="AA187" i="1" s="1"/>
  <c r="Y188" i="1" s="1"/>
  <c r="AA188" i="1" s="1"/>
  <c r="Y189" i="1" s="1"/>
  <c r="Z184" i="1"/>
  <c r="AD184" i="1" s="1"/>
  <c r="Z122" i="1"/>
  <c r="AD122" i="1" s="1"/>
  <c r="Z198" i="1"/>
  <c r="AD198" i="1" s="1"/>
  <c r="AA181" i="1"/>
  <c r="Y182" i="1" s="1"/>
  <c r="AA182" i="1" s="1"/>
  <c r="AC187" i="1"/>
  <c r="AB186" i="1"/>
  <c r="AD186" i="1" s="1"/>
  <c r="AD181" i="1"/>
  <c r="Z192" i="1"/>
  <c r="AD192" i="1" s="1"/>
  <c r="Y193" i="1"/>
  <c r="AA193" i="1" s="1"/>
  <c r="Y197" i="1"/>
  <c r="Y199" i="1"/>
  <c r="Z199" i="1" s="1"/>
  <c r="AC176" i="1"/>
  <c r="AB176" i="1" s="1"/>
  <c r="AA185" i="1"/>
  <c r="Z185" i="1"/>
  <c r="AD185" i="1" s="1"/>
  <c r="AA175" i="1"/>
  <c r="Y176" i="1" s="1"/>
  <c r="Z175" i="1"/>
  <c r="AD175" i="1" s="1"/>
  <c r="Z158" i="1"/>
  <c r="AA158" i="1"/>
  <c r="Y159" i="1" s="1"/>
  <c r="AC159" i="1"/>
  <c r="AB158" i="1"/>
  <c r="AC123" i="1"/>
  <c r="AC67" i="1"/>
  <c r="AB67" i="1" s="1"/>
  <c r="AA152" i="1"/>
  <c r="Y153" i="1" s="1"/>
  <c r="Z152" i="1"/>
  <c r="AD152" i="1" s="1"/>
  <c r="AC153" i="1"/>
  <c r="Z146" i="1"/>
  <c r="AC147" i="1"/>
  <c r="AB147" i="1" s="1"/>
  <c r="AB146" i="1"/>
  <c r="Z147" i="1"/>
  <c r="AA147" i="1"/>
  <c r="AC141" i="1"/>
  <c r="AB141" i="1" s="1"/>
  <c r="AA140" i="1"/>
  <c r="Y141" i="1" s="1"/>
  <c r="Z140" i="1"/>
  <c r="AD140" i="1" s="1"/>
  <c r="AC142" i="1"/>
  <c r="AA134" i="1"/>
  <c r="Y135" i="1" s="1"/>
  <c r="Z134" i="1"/>
  <c r="AD134" i="1" s="1"/>
  <c r="AC135" i="1"/>
  <c r="AC129" i="1"/>
  <c r="AC130" i="1" s="1"/>
  <c r="AB128" i="1"/>
  <c r="AA128" i="1"/>
  <c r="Y129" i="1" s="1"/>
  <c r="Z128" i="1"/>
  <c r="Z123" i="1"/>
  <c r="AA123" i="1"/>
  <c r="Y124" i="1" s="1"/>
  <c r="AA71" i="1"/>
  <c r="AA110" i="1"/>
  <c r="Y111" i="1" s="1"/>
  <c r="AA111" i="1" s="1"/>
  <c r="Y112" i="1" s="1"/>
  <c r="AA116" i="1"/>
  <c r="Y117" i="1" s="1"/>
  <c r="AA117" i="1" s="1"/>
  <c r="Y118" i="1" s="1"/>
  <c r="AC117" i="1"/>
  <c r="AB117" i="1" s="1"/>
  <c r="AC118" i="1"/>
  <c r="AB118" i="1" s="1"/>
  <c r="AD71" i="1"/>
  <c r="Z114" i="1"/>
  <c r="AD114" i="1" s="1"/>
  <c r="AA121" i="1"/>
  <c r="Z121" i="1"/>
  <c r="AD121" i="1" s="1"/>
  <c r="AA120" i="1"/>
  <c r="Z120" i="1"/>
  <c r="AD120" i="1" s="1"/>
  <c r="AD116" i="1"/>
  <c r="AA115" i="1"/>
  <c r="Z115" i="1"/>
  <c r="AD115" i="1" s="1"/>
  <c r="AD110" i="1"/>
  <c r="AC111" i="1"/>
  <c r="Z92" i="1"/>
  <c r="AD92" i="1" s="1"/>
  <c r="Z102" i="1"/>
  <c r="AD102" i="1" s="1"/>
  <c r="Z97" i="1"/>
  <c r="AD97" i="1" s="1"/>
  <c r="Z98" i="1"/>
  <c r="AD98" i="1" s="1"/>
  <c r="Z108" i="1"/>
  <c r="AD108" i="1" s="1"/>
  <c r="AC105" i="1"/>
  <c r="AB105" i="1" s="1"/>
  <c r="Z104" i="1"/>
  <c r="AD104" i="1" s="1"/>
  <c r="AA104" i="1"/>
  <c r="Y105" i="1" s="1"/>
  <c r="AA109" i="1"/>
  <c r="Z109" i="1"/>
  <c r="AD109" i="1" s="1"/>
  <c r="Z99" i="1"/>
  <c r="AD99" i="1" s="1"/>
  <c r="AA99" i="1"/>
  <c r="Y100" i="1" s="1"/>
  <c r="AA103" i="1"/>
  <c r="Z103" i="1"/>
  <c r="AD103" i="1" s="1"/>
  <c r="AC100" i="1"/>
  <c r="AB100" i="1" s="1"/>
  <c r="Z94" i="1"/>
  <c r="AD94" i="1" s="1"/>
  <c r="AA94" i="1"/>
  <c r="Y95" i="1" s="1"/>
  <c r="AC96" i="1"/>
  <c r="AB96" i="1" s="1"/>
  <c r="AC95" i="1"/>
  <c r="AB95" i="1" s="1"/>
  <c r="AA93" i="1"/>
  <c r="Z93" i="1"/>
  <c r="AD93" i="1" s="1"/>
  <c r="AA89" i="1"/>
  <c r="Y90" i="1" s="1"/>
  <c r="Z89" i="1"/>
  <c r="AD89" i="1" s="1"/>
  <c r="AC90" i="1"/>
  <c r="AB90" i="1" s="1"/>
  <c r="Z87" i="1"/>
  <c r="AD87" i="1" s="1"/>
  <c r="Z84" i="1"/>
  <c r="AD84" i="1" s="1"/>
  <c r="AA84" i="1"/>
  <c r="Y85" i="1" s="1"/>
  <c r="AA88" i="1"/>
  <c r="Z88" i="1"/>
  <c r="AD88" i="1" s="1"/>
  <c r="AC86" i="1"/>
  <c r="AC85" i="1"/>
  <c r="AB85" i="1" s="1"/>
  <c r="AC79" i="1"/>
  <c r="AB79" i="1" s="1"/>
  <c r="AC80" i="1"/>
  <c r="AB80" i="1" s="1"/>
  <c r="AA83" i="1"/>
  <c r="Z83" i="1"/>
  <c r="AD83" i="1" s="1"/>
  <c r="AA82" i="1"/>
  <c r="Z82" i="1"/>
  <c r="AD82" i="1" s="1"/>
  <c r="Z78" i="1"/>
  <c r="AD78" i="1" s="1"/>
  <c r="AA78" i="1"/>
  <c r="Y79" i="1" s="1"/>
  <c r="AA77" i="1"/>
  <c r="Z77" i="1"/>
  <c r="AD77" i="1" s="1"/>
  <c r="AA76" i="1"/>
  <c r="Z76" i="1"/>
  <c r="AD76" i="1" s="1"/>
  <c r="Z72" i="1"/>
  <c r="AD72" i="1" s="1"/>
  <c r="AA72" i="1"/>
  <c r="Y73" i="1" s="1"/>
  <c r="AC73" i="1"/>
  <c r="Z36" i="1"/>
  <c r="AD36" i="1" s="1"/>
  <c r="AA26" i="1"/>
  <c r="Y27" i="1" s="1"/>
  <c r="AA27" i="1" s="1"/>
  <c r="Y28" i="1" s="1"/>
  <c r="AC27" i="1"/>
  <c r="AD26" i="1"/>
  <c r="AA31" i="1"/>
  <c r="Z31" i="1"/>
  <c r="AD31" i="1" s="1"/>
  <c r="AA42" i="1"/>
  <c r="Y43" i="1" s="1"/>
  <c r="Z43" i="1" s="1"/>
  <c r="AD43" i="1" s="1"/>
  <c r="Z52" i="1"/>
  <c r="AD52" i="1" s="1"/>
  <c r="AA58" i="1"/>
  <c r="Z70" i="1"/>
  <c r="AD70" i="1" s="1"/>
  <c r="AD58" i="1"/>
  <c r="Z66" i="1"/>
  <c r="AD66" i="1" s="1"/>
  <c r="AD19" i="1"/>
  <c r="AA19" i="1"/>
  <c r="AC33" i="1"/>
  <c r="AB33" i="1" s="1"/>
  <c r="Z32" i="1"/>
  <c r="AD32" i="1" s="1"/>
  <c r="Z67" i="1"/>
  <c r="AA67" i="1"/>
  <c r="Y68" i="1" s="1"/>
  <c r="Z60" i="1"/>
  <c r="AD60" i="1" s="1"/>
  <c r="AA60" i="1"/>
  <c r="Y61" i="1" s="1"/>
  <c r="AA64" i="1"/>
  <c r="Z64" i="1"/>
  <c r="AD64" i="1" s="1"/>
  <c r="AC61" i="1"/>
  <c r="AA65" i="1"/>
  <c r="Z65" i="1"/>
  <c r="AD65" i="1" s="1"/>
  <c r="AC55" i="1"/>
  <c r="AC56" i="1" s="1"/>
  <c r="AB56" i="1" s="1"/>
  <c r="Z54" i="1"/>
  <c r="AD54" i="1" s="1"/>
  <c r="AA54" i="1"/>
  <c r="Y55" i="1" s="1"/>
  <c r="AA59" i="1"/>
  <c r="Z59" i="1"/>
  <c r="AD59" i="1" s="1"/>
  <c r="Z48" i="1"/>
  <c r="AD48" i="1" s="1"/>
  <c r="AA48" i="1"/>
  <c r="AA53" i="1"/>
  <c r="Z53" i="1"/>
  <c r="AD53" i="1" s="1"/>
  <c r="AA46" i="1"/>
  <c r="Z46" i="1"/>
  <c r="AD46" i="1" s="1"/>
  <c r="AA47" i="1"/>
  <c r="Z47" i="1"/>
  <c r="AD47" i="1" s="1"/>
  <c r="AD42" i="1"/>
  <c r="AA40" i="1"/>
  <c r="Z40" i="1"/>
  <c r="AD40" i="1" s="1"/>
  <c r="AC37" i="1"/>
  <c r="AA41" i="1"/>
  <c r="Z41" i="1"/>
  <c r="AD41" i="1" s="1"/>
  <c r="Z37" i="1"/>
  <c r="AA37" i="1"/>
  <c r="Y38" i="1" s="1"/>
  <c r="AA33" i="1"/>
  <c r="Y34" i="1" s="1"/>
  <c r="Z33" i="1"/>
  <c r="Z12" i="1"/>
  <c r="AD12" i="1" s="1"/>
  <c r="AA11" i="1"/>
  <c r="Z11" i="1"/>
  <c r="AD11" i="1" s="1"/>
  <c r="Z8" i="1"/>
  <c r="AD8" i="1" s="1"/>
  <c r="AA8" i="1"/>
  <c r="Y9" i="1" s="1"/>
  <c r="AC9" i="1"/>
  <c r="AB9" i="1" s="1"/>
  <c r="AA13" i="1"/>
  <c r="Z13" i="1"/>
  <c r="AD13" i="1" s="1"/>
  <c r="AA17" i="1"/>
  <c r="AC14" i="1"/>
  <c r="AB14" i="1" s="1"/>
  <c r="Z18" i="1"/>
  <c r="AD18" i="1" s="1"/>
  <c r="AD17" i="1"/>
  <c r="AA14" i="1"/>
  <c r="Y15" i="1" s="1"/>
  <c r="Z14" i="1"/>
  <c r="I20" i="1"/>
  <c r="B220" i="13" a="1"/>
  <c r="B220" i="13" s="1"/>
  <c r="AC282" i="1" l="1"/>
  <c r="AB282" i="1" s="1"/>
  <c r="AA281" i="1"/>
  <c r="Y282" i="1" s="1"/>
  <c r="Z281" i="1"/>
  <c r="AD281" i="1" s="1"/>
  <c r="AC166" i="1"/>
  <c r="Y165" i="1"/>
  <c r="Y169" i="1"/>
  <c r="AA309" i="1"/>
  <c r="Z309" i="1"/>
  <c r="AD309" i="1" s="1"/>
  <c r="AD304" i="1"/>
  <c r="AC303" i="1"/>
  <c r="AB303" i="1" s="1"/>
  <c r="AB312" i="1"/>
  <c r="AC313" i="1"/>
  <c r="AB313" i="1" s="1"/>
  <c r="AA312" i="1"/>
  <c r="Y313" i="1" s="1"/>
  <c r="Z312" i="1"/>
  <c r="Z306" i="1"/>
  <c r="AA306" i="1"/>
  <c r="Y307" i="1" s="1"/>
  <c r="AC307" i="1"/>
  <c r="AB307" i="1" s="1"/>
  <c r="AC306" i="1"/>
  <c r="AB306" i="1" s="1"/>
  <c r="AB305" i="1"/>
  <c r="AD305" i="1" s="1"/>
  <c r="AA302" i="1"/>
  <c r="Y303" i="1" s="1"/>
  <c r="Z302" i="1"/>
  <c r="AD302" i="1" s="1"/>
  <c r="AB299" i="1"/>
  <c r="AC300" i="1"/>
  <c r="AB300" i="1" s="1"/>
  <c r="AA299" i="1"/>
  <c r="Y300" i="1" s="1"/>
  <c r="Z299" i="1"/>
  <c r="Z293" i="1"/>
  <c r="AD293" i="1" s="1"/>
  <c r="AD267" i="1"/>
  <c r="AD289" i="1"/>
  <c r="AC294" i="1"/>
  <c r="AB294" i="1" s="1"/>
  <c r="AA294" i="1"/>
  <c r="Z294" i="1"/>
  <c r="Z290" i="1"/>
  <c r="AD290" i="1" s="1"/>
  <c r="AA290" i="1"/>
  <c r="AA287" i="1"/>
  <c r="Z242" i="1"/>
  <c r="AD242" i="1" s="1"/>
  <c r="AA265" i="1"/>
  <c r="Y266" i="1" s="1"/>
  <c r="Z266" i="1" s="1"/>
  <c r="AA278" i="1"/>
  <c r="Y279" i="1" s="1"/>
  <c r="Z278" i="1"/>
  <c r="AD278" i="1" s="1"/>
  <c r="AB272" i="1"/>
  <c r="AC273" i="1"/>
  <c r="AB273" i="1" s="1"/>
  <c r="AA272" i="1"/>
  <c r="Y273" i="1" s="1"/>
  <c r="Z272" i="1"/>
  <c r="AA270" i="1"/>
  <c r="Z270" i="1"/>
  <c r="AD270" i="1" s="1"/>
  <c r="AC266" i="1"/>
  <c r="AB266" i="1" s="1"/>
  <c r="Z268" i="1"/>
  <c r="AD268" i="1" s="1"/>
  <c r="AA268" i="1"/>
  <c r="AD265" i="1"/>
  <c r="AA261" i="1"/>
  <c r="Y262" i="1" s="1"/>
  <c r="Z261" i="1"/>
  <c r="AD261" i="1" s="1"/>
  <c r="AA258" i="1"/>
  <c r="Y259" i="1" s="1"/>
  <c r="Z258" i="1"/>
  <c r="AD258" i="1" s="1"/>
  <c r="AA255" i="1"/>
  <c r="Y256" i="1" s="1"/>
  <c r="Z255" i="1"/>
  <c r="AD255" i="1" s="1"/>
  <c r="AA252" i="1"/>
  <c r="Y253" i="1" s="1"/>
  <c r="Z252" i="1"/>
  <c r="AD252" i="1" s="1"/>
  <c r="AC194" i="1"/>
  <c r="AC195" i="1" s="1"/>
  <c r="AD205" i="1"/>
  <c r="AB248" i="1"/>
  <c r="AC249" i="1"/>
  <c r="AB249" i="1" s="1"/>
  <c r="AA248" i="1"/>
  <c r="Y249" i="1" s="1"/>
  <c r="Z248" i="1"/>
  <c r="AC245" i="1"/>
  <c r="AB245" i="1" s="1"/>
  <c r="AC246" i="1"/>
  <c r="AB246" i="1" s="1"/>
  <c r="AA244" i="1"/>
  <c r="Y245" i="1" s="1"/>
  <c r="Z244" i="1"/>
  <c r="AD244" i="1" s="1"/>
  <c r="AA239" i="1"/>
  <c r="Y240" i="1" s="1"/>
  <c r="Z239" i="1"/>
  <c r="AD239" i="1" s="1"/>
  <c r="AA235" i="1"/>
  <c r="Y236" i="1" s="1"/>
  <c r="Z235" i="1"/>
  <c r="AC237" i="1"/>
  <c r="AB237" i="1" s="1"/>
  <c r="AB235" i="1"/>
  <c r="AC236" i="1"/>
  <c r="AB236" i="1" s="1"/>
  <c r="AA232" i="1"/>
  <c r="Y233" i="1" s="1"/>
  <c r="Z232" i="1"/>
  <c r="AD232" i="1" s="1"/>
  <c r="AA230" i="1"/>
  <c r="Z230" i="1"/>
  <c r="AD230" i="1" s="1"/>
  <c r="AA227" i="1"/>
  <c r="Y228" i="1" s="1"/>
  <c r="Z227" i="1"/>
  <c r="AD227" i="1" s="1"/>
  <c r="AA223" i="1"/>
  <c r="Y224" i="1" s="1"/>
  <c r="AA224" i="1" s="1"/>
  <c r="Y225" i="1" s="1"/>
  <c r="AB223" i="1"/>
  <c r="AD223" i="1" s="1"/>
  <c r="AC224" i="1"/>
  <c r="AC221" i="1"/>
  <c r="AB220" i="1"/>
  <c r="AD219" i="1"/>
  <c r="AA220" i="1"/>
  <c r="Y221" i="1" s="1"/>
  <c r="Z220" i="1"/>
  <c r="AC200" i="1"/>
  <c r="AC209" i="1"/>
  <c r="AB209" i="1" s="1"/>
  <c r="AD199" i="1"/>
  <c r="Z214" i="1"/>
  <c r="AB214" i="1"/>
  <c r="AC215" i="1"/>
  <c r="AA215" i="1"/>
  <c r="Y216" i="1" s="1"/>
  <c r="Z215" i="1"/>
  <c r="AD208" i="1"/>
  <c r="AC210" i="1"/>
  <c r="AB210" i="1" s="1"/>
  <c r="AA209" i="1"/>
  <c r="Y210" i="1" s="1"/>
  <c r="Z209" i="1"/>
  <c r="Z197" i="1"/>
  <c r="AA197" i="1"/>
  <c r="AA189" i="1"/>
  <c r="Y190" i="1" s="1"/>
  <c r="Z189" i="1"/>
  <c r="AA205" i="1"/>
  <c r="Y206" i="1" s="1"/>
  <c r="AA206" i="1" s="1"/>
  <c r="Z187" i="1"/>
  <c r="Z182" i="1"/>
  <c r="AD182" i="1" s="1"/>
  <c r="Z188" i="1"/>
  <c r="AB187" i="1"/>
  <c r="AC188" i="1"/>
  <c r="AA199" i="1"/>
  <c r="Y200" i="1" s="1"/>
  <c r="AC177" i="1"/>
  <c r="AB177" i="1" s="1"/>
  <c r="Z193" i="1"/>
  <c r="AD193" i="1" s="1"/>
  <c r="Y194" i="1"/>
  <c r="AA194" i="1" s="1"/>
  <c r="AA176" i="1"/>
  <c r="Y177" i="1" s="1"/>
  <c r="Z176" i="1"/>
  <c r="AD176" i="1" s="1"/>
  <c r="AB130" i="1"/>
  <c r="AC131" i="1"/>
  <c r="AB131" i="1" s="1"/>
  <c r="AB159" i="1"/>
  <c r="AC160" i="1"/>
  <c r="AA159" i="1"/>
  <c r="Y160" i="1" s="1"/>
  <c r="Z159" i="1"/>
  <c r="AD158" i="1"/>
  <c r="AC68" i="1"/>
  <c r="AB68" i="1" s="1"/>
  <c r="AD67" i="1"/>
  <c r="AD128" i="1"/>
  <c r="AB123" i="1"/>
  <c r="AD123" i="1" s="1"/>
  <c r="AC124" i="1"/>
  <c r="Z111" i="1"/>
  <c r="AD146" i="1"/>
  <c r="AB153" i="1"/>
  <c r="AA153" i="1"/>
  <c r="Z153" i="1"/>
  <c r="AC148" i="1"/>
  <c r="AB148" i="1" s="1"/>
  <c r="Y148" i="1"/>
  <c r="AD147" i="1"/>
  <c r="AC149" i="1"/>
  <c r="AB149" i="1" s="1"/>
  <c r="AC143" i="1"/>
  <c r="AB142" i="1"/>
  <c r="AA141" i="1"/>
  <c r="Z141" i="1"/>
  <c r="AD141" i="1" s="1"/>
  <c r="AB135" i="1"/>
  <c r="AC136" i="1"/>
  <c r="AA135" i="1"/>
  <c r="Y136" i="1" s="1"/>
  <c r="Z135" i="1"/>
  <c r="AA129" i="1"/>
  <c r="Y130" i="1" s="1"/>
  <c r="Z129" i="1"/>
  <c r="AB129" i="1"/>
  <c r="Z124" i="1"/>
  <c r="AA124" i="1"/>
  <c r="Y125" i="1" s="1"/>
  <c r="Z117" i="1"/>
  <c r="AD117" i="1" s="1"/>
  <c r="AA118" i="1"/>
  <c r="Z118" i="1"/>
  <c r="AD118" i="1" s="1"/>
  <c r="AB111" i="1"/>
  <c r="AC112" i="1"/>
  <c r="AB112" i="1" s="1"/>
  <c r="AA112" i="1"/>
  <c r="Z112" i="1"/>
  <c r="AC106" i="1"/>
  <c r="AB106" i="1" s="1"/>
  <c r="AC107" i="1"/>
  <c r="AB107" i="1" s="1"/>
  <c r="AD107" i="1" s="1"/>
  <c r="AA105" i="1"/>
  <c r="Z105" i="1"/>
  <c r="AD105" i="1" s="1"/>
  <c r="Z100" i="1"/>
  <c r="AD100" i="1" s="1"/>
  <c r="AA100" i="1"/>
  <c r="Z95" i="1"/>
  <c r="AD95" i="1" s="1"/>
  <c r="AA95" i="1"/>
  <c r="Y96" i="1" s="1"/>
  <c r="Z90" i="1"/>
  <c r="AD90" i="1" s="1"/>
  <c r="AA90" i="1"/>
  <c r="AB86" i="1"/>
  <c r="AA85" i="1"/>
  <c r="Y86" i="1" s="1"/>
  <c r="Z85" i="1"/>
  <c r="AD85" i="1" s="1"/>
  <c r="AC81" i="1"/>
  <c r="AB81" i="1" s="1"/>
  <c r="AD81" i="1" s="1"/>
  <c r="AA79" i="1"/>
  <c r="Z79" i="1"/>
  <c r="AD79" i="1" s="1"/>
  <c r="AB73" i="1"/>
  <c r="AC74" i="1"/>
  <c r="Z73" i="1"/>
  <c r="AA73" i="1"/>
  <c r="Y74" i="1" s="1"/>
  <c r="AA43" i="1"/>
  <c r="Z27" i="1"/>
  <c r="AA28" i="1"/>
  <c r="Y29" i="1" s="1"/>
  <c r="AA29" i="1" s="1"/>
  <c r="Y30" i="1" s="1"/>
  <c r="Z28" i="1"/>
  <c r="AB27" i="1"/>
  <c r="AC28" i="1"/>
  <c r="AB28" i="1" s="1"/>
  <c r="AD33" i="1"/>
  <c r="AC34" i="1"/>
  <c r="AB34" i="1" s="1"/>
  <c r="AA68" i="1"/>
  <c r="Y69" i="1" s="1"/>
  <c r="AA69" i="1" s="1"/>
  <c r="Z68" i="1"/>
  <c r="AB61" i="1"/>
  <c r="AC62" i="1"/>
  <c r="AB62" i="1" s="1"/>
  <c r="AA61" i="1"/>
  <c r="Y62" i="1" s="1"/>
  <c r="Z61" i="1"/>
  <c r="AB55" i="1"/>
  <c r="AC57" i="1"/>
  <c r="AB57" i="1" s="1"/>
  <c r="AD57" i="1" s="1"/>
  <c r="AA55" i="1"/>
  <c r="Y56" i="1" s="1"/>
  <c r="Z55" i="1"/>
  <c r="Z38" i="1"/>
  <c r="AA38" i="1"/>
  <c r="Y39" i="1" s="1"/>
  <c r="AA39" i="1" s="1"/>
  <c r="AB37" i="1"/>
  <c r="AD37" i="1" s="1"/>
  <c r="AC38" i="1"/>
  <c r="AB38" i="1" s="1"/>
  <c r="AC39" i="1"/>
  <c r="AB39" i="1" s="1"/>
  <c r="AD39" i="1" s="1"/>
  <c r="AC35" i="1"/>
  <c r="AB35" i="1" s="1"/>
  <c r="AD35" i="1" s="1"/>
  <c r="Z34" i="1"/>
  <c r="AA34" i="1"/>
  <c r="Y35" i="1" s="1"/>
  <c r="Z9" i="1"/>
  <c r="AD9" i="1" s="1"/>
  <c r="AA9" i="1"/>
  <c r="AD14" i="1"/>
  <c r="Z15" i="1"/>
  <c r="AD15" i="1" s="1"/>
  <c r="AA15" i="1"/>
  <c r="J20" i="1"/>
  <c r="AA282" i="1" l="1"/>
  <c r="Z282" i="1"/>
  <c r="AD282" i="1" s="1"/>
  <c r="AB200" i="1"/>
  <c r="AC201" i="1"/>
  <c r="AB166" i="1"/>
  <c r="AC167" i="1"/>
  <c r="Z169" i="1"/>
  <c r="AA169" i="1"/>
  <c r="Y174" i="1" s="1"/>
  <c r="Z165" i="1"/>
  <c r="AD165" i="1" s="1"/>
  <c r="AA165" i="1"/>
  <c r="AD312" i="1"/>
  <c r="AD299" i="1"/>
  <c r="AA313" i="1"/>
  <c r="Z313" i="1"/>
  <c r="AD313" i="1" s="1"/>
  <c r="Z307" i="1"/>
  <c r="AD307" i="1" s="1"/>
  <c r="AA307" i="1"/>
  <c r="AD306" i="1"/>
  <c r="AA303" i="1"/>
  <c r="Z303" i="1"/>
  <c r="AD303" i="1" s="1"/>
  <c r="AA300" i="1"/>
  <c r="Z300" i="1"/>
  <c r="AD300" i="1" s="1"/>
  <c r="AD294" i="1"/>
  <c r="AA266" i="1"/>
  <c r="AD248" i="1"/>
  <c r="AB194" i="1"/>
  <c r="AD266" i="1"/>
  <c r="AD272" i="1"/>
  <c r="AA279" i="1"/>
  <c r="Z279" i="1"/>
  <c r="AD279" i="1" s="1"/>
  <c r="AA273" i="1"/>
  <c r="Z273" i="1"/>
  <c r="AD273" i="1" s="1"/>
  <c r="AA262" i="1"/>
  <c r="Z262" i="1"/>
  <c r="AD262" i="1" s="1"/>
  <c r="AA259" i="1"/>
  <c r="Z259" i="1"/>
  <c r="AD259" i="1" s="1"/>
  <c r="AA256" i="1"/>
  <c r="Z256" i="1"/>
  <c r="AD256" i="1" s="1"/>
  <c r="AA253" i="1"/>
  <c r="Z253" i="1"/>
  <c r="AD253" i="1" s="1"/>
  <c r="AA249" i="1"/>
  <c r="Z249" i="1"/>
  <c r="AD249" i="1" s="1"/>
  <c r="AA245" i="1"/>
  <c r="Y246" i="1" s="1"/>
  <c r="Z245" i="1"/>
  <c r="AD245" i="1" s="1"/>
  <c r="AA240" i="1"/>
  <c r="Z240" i="1"/>
  <c r="AD240" i="1" s="1"/>
  <c r="AD235" i="1"/>
  <c r="AA236" i="1"/>
  <c r="Y237" i="1" s="1"/>
  <c r="Z236" i="1"/>
  <c r="AD236" i="1" s="1"/>
  <c r="AA233" i="1"/>
  <c r="Z233" i="1"/>
  <c r="AD233" i="1" s="1"/>
  <c r="AA228" i="1"/>
  <c r="Z228" i="1"/>
  <c r="AD228" i="1" s="1"/>
  <c r="Z224" i="1"/>
  <c r="AD220" i="1"/>
  <c r="AC225" i="1"/>
  <c r="AB225" i="1" s="1"/>
  <c r="AB224" i="1"/>
  <c r="Z225" i="1"/>
  <c r="AA225" i="1"/>
  <c r="AA221" i="1"/>
  <c r="Z221" i="1"/>
  <c r="AB221" i="1"/>
  <c r="AD209" i="1"/>
  <c r="AD214" i="1"/>
  <c r="AC216" i="1"/>
  <c r="AB216" i="1" s="1"/>
  <c r="AB215" i="1"/>
  <c r="AD215" i="1" s="1"/>
  <c r="AC217" i="1"/>
  <c r="AB217" i="1" s="1"/>
  <c r="AA216" i="1"/>
  <c r="Y217" i="1" s="1"/>
  <c r="Z216" i="1"/>
  <c r="AA210" i="1"/>
  <c r="Z210" i="1"/>
  <c r="AD210" i="1" s="1"/>
  <c r="AB188" i="1"/>
  <c r="AD188" i="1" s="1"/>
  <c r="AC189" i="1"/>
  <c r="AB189" i="1" s="1"/>
  <c r="AD189" i="1" s="1"/>
  <c r="AC190" i="1"/>
  <c r="AB190" i="1" s="1"/>
  <c r="Z190" i="1"/>
  <c r="AA190" i="1"/>
  <c r="Z206" i="1"/>
  <c r="AD206" i="1" s="1"/>
  <c r="AD187" i="1"/>
  <c r="AC178" i="1"/>
  <c r="AB178" i="1" s="1"/>
  <c r="AD159" i="1"/>
  <c r="AA200" i="1"/>
  <c r="Y201" i="1" s="1"/>
  <c r="Z200" i="1"/>
  <c r="AD200" i="1" s="1"/>
  <c r="AC196" i="1"/>
  <c r="AB196" i="1" s="1"/>
  <c r="AC197" i="1"/>
  <c r="AB195" i="1"/>
  <c r="Z194" i="1"/>
  <c r="AA177" i="1"/>
  <c r="Y178" i="1" s="1"/>
  <c r="Z177" i="1"/>
  <c r="AD177" i="1" s="1"/>
  <c r="Z130" i="1"/>
  <c r="AD130" i="1" s="1"/>
  <c r="AA130" i="1"/>
  <c r="Y131" i="1" s="1"/>
  <c r="AC69" i="1"/>
  <c r="AB69" i="1" s="1"/>
  <c r="AD69" i="1" s="1"/>
  <c r="AC161" i="1"/>
  <c r="AB161" i="1" s="1"/>
  <c r="AB160" i="1"/>
  <c r="AA160" i="1"/>
  <c r="Y161" i="1" s="1"/>
  <c r="Z160" i="1"/>
  <c r="AD111" i="1"/>
  <c r="AB124" i="1"/>
  <c r="AD124" i="1" s="1"/>
  <c r="AC125" i="1"/>
  <c r="AD153" i="1"/>
  <c r="Z148" i="1"/>
  <c r="AD148" i="1" s="1"/>
  <c r="AA148" i="1"/>
  <c r="Y149" i="1" s="1"/>
  <c r="AA149" i="1" s="1"/>
  <c r="Y143" i="1"/>
  <c r="Y142" i="1"/>
  <c r="AB143" i="1"/>
  <c r="AD135" i="1"/>
  <c r="AA136" i="1"/>
  <c r="Y137" i="1" s="1"/>
  <c r="Z136" i="1"/>
  <c r="AC137" i="1"/>
  <c r="AB136" i="1"/>
  <c r="AD129" i="1"/>
  <c r="AA125" i="1"/>
  <c r="Y126" i="1" s="1"/>
  <c r="Z125" i="1"/>
  <c r="AD112" i="1"/>
  <c r="Y106" i="1"/>
  <c r="Z96" i="1"/>
  <c r="AD96" i="1" s="1"/>
  <c r="AA96" i="1"/>
  <c r="AA86" i="1"/>
  <c r="Z86" i="1"/>
  <c r="AD86" i="1" s="1"/>
  <c r="AD73" i="1"/>
  <c r="AD27" i="1"/>
  <c r="AD55" i="1"/>
  <c r="Y80" i="1"/>
  <c r="AA74" i="1"/>
  <c r="Y75" i="1" s="1"/>
  <c r="AA75" i="1" s="1"/>
  <c r="Z74" i="1"/>
  <c r="AB74" i="1"/>
  <c r="AC75" i="1"/>
  <c r="AB75" i="1" s="1"/>
  <c r="AD75" i="1" s="1"/>
  <c r="AD68" i="1"/>
  <c r="AC29" i="1"/>
  <c r="AB29" i="1" s="1"/>
  <c r="AD29" i="1" s="1"/>
  <c r="AC30" i="1"/>
  <c r="AB30" i="1" s="1"/>
  <c r="AA30" i="1"/>
  <c r="Z30" i="1"/>
  <c r="AD28" i="1"/>
  <c r="AD61" i="1"/>
  <c r="AD34" i="1"/>
  <c r="AC63" i="1"/>
  <c r="AB63" i="1" s="1"/>
  <c r="AD63" i="1" s="1"/>
  <c r="AA62" i="1"/>
  <c r="Y63" i="1" s="1"/>
  <c r="AA63" i="1" s="1"/>
  <c r="Z62" i="1"/>
  <c r="AD62" i="1" s="1"/>
  <c r="AA56" i="1"/>
  <c r="Y57" i="1" s="1"/>
  <c r="AA57" i="1" s="1"/>
  <c r="Z56" i="1"/>
  <c r="AD56" i="1" s="1"/>
  <c r="AD38" i="1"/>
  <c r="AA35" i="1"/>
  <c r="U20" i="1"/>
  <c r="AA201" i="1" l="1"/>
  <c r="Y202" i="1" s="1"/>
  <c r="Z201" i="1"/>
  <c r="AC202" i="1"/>
  <c r="AB202" i="1" s="1"/>
  <c r="AB201" i="1"/>
  <c r="AC162" i="1"/>
  <c r="AB167" i="1"/>
  <c r="AC168" i="1"/>
  <c r="AB168" i="1" s="1"/>
  <c r="Y166" i="1"/>
  <c r="Y170" i="1"/>
  <c r="AA174" i="1"/>
  <c r="Z174" i="1"/>
  <c r="AD194" i="1"/>
  <c r="AA246" i="1"/>
  <c r="Z246" i="1"/>
  <c r="AD246" i="1" s="1"/>
  <c r="AD224" i="1"/>
  <c r="AA237" i="1"/>
  <c r="Z237" i="1"/>
  <c r="AD237" i="1" s="1"/>
  <c r="AD225" i="1"/>
  <c r="AD221" i="1"/>
  <c r="AD216" i="1"/>
  <c r="AA217" i="1"/>
  <c r="Z217" i="1"/>
  <c r="AD217" i="1" s="1"/>
  <c r="AC179" i="1"/>
  <c r="AB179" i="1" s="1"/>
  <c r="AD190" i="1"/>
  <c r="Y195" i="1"/>
  <c r="AA195" i="1" s="1"/>
  <c r="AB197" i="1"/>
  <c r="AD197" i="1" s="1"/>
  <c r="AA178" i="1"/>
  <c r="Z178" i="1"/>
  <c r="AD178" i="1" s="1"/>
  <c r="Z131" i="1"/>
  <c r="AD131" i="1" s="1"/>
  <c r="AA131" i="1"/>
  <c r="AD160" i="1"/>
  <c r="AA161" i="1"/>
  <c r="Z161" i="1"/>
  <c r="AD161" i="1" s="1"/>
  <c r="AC126" i="1"/>
  <c r="AB125" i="1"/>
  <c r="AD125" i="1" s="1"/>
  <c r="Z149" i="1"/>
  <c r="AD149" i="1" s="1"/>
  <c r="AA142" i="1"/>
  <c r="Z142" i="1"/>
  <c r="AD142" i="1" s="1"/>
  <c r="AA143" i="1"/>
  <c r="Z143" i="1"/>
  <c r="AD143" i="1" s="1"/>
  <c r="AD136" i="1"/>
  <c r="AC138" i="1"/>
  <c r="AB137" i="1"/>
  <c r="AA137" i="1"/>
  <c r="Y138" i="1" s="1"/>
  <c r="Z137" i="1"/>
  <c r="AA126" i="1"/>
  <c r="Y127" i="1" s="1"/>
  <c r="Z126" i="1"/>
  <c r="AA106" i="1"/>
  <c r="Y107" i="1" s="1"/>
  <c r="AA107" i="1" s="1"/>
  <c r="Z106" i="1"/>
  <c r="AD106" i="1" s="1"/>
  <c r="AA80" i="1"/>
  <c r="Y81" i="1" s="1"/>
  <c r="AA81" i="1" s="1"/>
  <c r="Z80" i="1"/>
  <c r="AD80" i="1" s="1"/>
  <c r="AD74" i="1"/>
  <c r="AD30" i="1"/>
  <c r="F220" i="13"/>
  <c r="F210" i="13"/>
  <c r="F211" i="13"/>
  <c r="F212" i="13"/>
  <c r="F213" i="13"/>
  <c r="F214" i="13"/>
  <c r="F215" i="13"/>
  <c r="F216" i="13"/>
  <c r="F217" i="13"/>
  <c r="F218" i="13"/>
  <c r="F219" i="13"/>
  <c r="F209" i="13"/>
  <c r="L25" i="1"/>
  <c r="L24" i="1"/>
  <c r="L21" i="1"/>
  <c r="L22" i="1"/>
  <c r="L23" i="1"/>
  <c r="AD201" i="1" l="1"/>
  <c r="AA202" i="1"/>
  <c r="Z202" i="1"/>
  <c r="AD202" i="1" s="1"/>
  <c r="AC169" i="1"/>
  <c r="AC170" i="1" s="1"/>
  <c r="AC163" i="1"/>
  <c r="AB163" i="1" s="1"/>
  <c r="AB162" i="1"/>
  <c r="Z170" i="1"/>
  <c r="AA170" i="1"/>
  <c r="Z166" i="1"/>
  <c r="AD166" i="1" s="1"/>
  <c r="AA166" i="1"/>
  <c r="Z195" i="1"/>
  <c r="AD195" i="1" s="1"/>
  <c r="Y179" i="1"/>
  <c r="Y162" i="1"/>
  <c r="AC127" i="1"/>
  <c r="AB127" i="1" s="1"/>
  <c r="AB126" i="1"/>
  <c r="AD126" i="1" s="1"/>
  <c r="AD137" i="1"/>
  <c r="AA138" i="1"/>
  <c r="Z138" i="1"/>
  <c r="AB138" i="1"/>
  <c r="AA127" i="1"/>
  <c r="Z127" i="1"/>
  <c r="L20" i="1"/>
  <c r="M20" i="1" s="1"/>
  <c r="O20" i="1" s="1"/>
  <c r="AB169" i="1" l="1"/>
  <c r="AD169" i="1" s="1"/>
  <c r="AC171" i="1"/>
  <c r="AB171" i="1" s="1"/>
  <c r="AB170" i="1"/>
  <c r="AD170" i="1" s="1"/>
  <c r="Y171" i="1"/>
  <c r="Y167" i="1"/>
  <c r="Y196" i="1"/>
  <c r="AA196" i="1" s="1"/>
  <c r="AA179" i="1"/>
  <c r="Z179" i="1"/>
  <c r="AD179" i="1" s="1"/>
  <c r="AA162" i="1"/>
  <c r="Y163" i="1" s="1"/>
  <c r="AA163" i="1" s="1"/>
  <c r="Z162" i="1"/>
  <c r="AD162" i="1" s="1"/>
  <c r="AD127" i="1"/>
  <c r="AD138" i="1"/>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H209" i="13"/>
  <c r="AC172" i="1" l="1"/>
  <c r="AC174" i="1" s="1"/>
  <c r="Z163" i="1"/>
  <c r="AD163" i="1" s="1"/>
  <c r="Z167" i="1"/>
  <c r="AD167" i="1" s="1"/>
  <c r="AA167" i="1"/>
  <c r="Z171" i="1"/>
  <c r="AD171" i="1" s="1"/>
  <c r="AA171" i="1"/>
  <c r="Z196" i="1"/>
  <c r="AD196" i="1" s="1"/>
  <c r="R25" i="1"/>
  <c r="R24" i="1"/>
  <c r="AB172" i="1" l="1"/>
  <c r="AC173" i="1"/>
  <c r="AB173" i="1" s="1"/>
  <c r="AB174" i="1"/>
  <c r="AD174" i="1" s="1"/>
  <c r="Y172" i="1"/>
  <c r="Y168" i="1"/>
  <c r="T52" i="19"/>
  <c r="AF32" i="19"/>
  <c r="N22" i="19"/>
  <c r="AL32" i="19"/>
  <c r="N52" i="19"/>
  <c r="AL12" i="19"/>
  <c r="AL52" i="19"/>
  <c r="AL42" i="19"/>
  <c r="T32" i="19"/>
  <c r="AF12" i="19"/>
  <c r="N32" i="19"/>
  <c r="T42" i="19"/>
  <c r="N12" i="19"/>
  <c r="Z52" i="19"/>
  <c r="Z42" i="19"/>
  <c r="AL22" i="19"/>
  <c r="T12" i="19"/>
  <c r="T22" i="19"/>
  <c r="Z32" i="19"/>
  <c r="AF52" i="19"/>
  <c r="N42" i="19"/>
  <c r="Z22" i="19"/>
  <c r="AF42" i="19"/>
  <c r="Z12" i="19"/>
  <c r="AF22" i="19"/>
  <c r="AM42" i="19"/>
  <c r="U32" i="19"/>
  <c r="AG12" i="19"/>
  <c r="U42" i="19"/>
  <c r="O12" i="19"/>
  <c r="U22" i="19"/>
  <c r="AM52" i="19"/>
  <c r="AA42" i="19"/>
  <c r="AM22" i="19"/>
  <c r="U12" i="19"/>
  <c r="AA32" i="19"/>
  <c r="AG42" i="19"/>
  <c r="AA12" i="19"/>
  <c r="AG52" i="19"/>
  <c r="O42" i="19"/>
  <c r="AA22" i="19"/>
  <c r="AA52" i="19"/>
  <c r="AG22" i="19"/>
  <c r="AM32" i="19"/>
  <c r="U52" i="19"/>
  <c r="AG32" i="19"/>
  <c r="O22" i="19"/>
  <c r="O52" i="19"/>
  <c r="AM12" i="19"/>
  <c r="O32" i="19"/>
  <c r="U21" i="1"/>
  <c r="U24" i="1"/>
  <c r="U25" i="1"/>
  <c r="Z168" i="1" l="1"/>
  <c r="AD168" i="1" s="1"/>
  <c r="AA168" i="1"/>
  <c r="Y173" i="1" s="1"/>
  <c r="Z172" i="1"/>
  <c r="AD172" i="1" s="1"/>
  <c r="AA172" i="1"/>
  <c r="Y20" i="1"/>
  <c r="Z20" i="1" s="1"/>
  <c r="Z173" i="1" l="1"/>
  <c r="AD173" i="1" s="1"/>
  <c r="AA173" i="1"/>
  <c r="AA20" i="1"/>
  <c r="Y21" i="1" s="1"/>
  <c r="Z21" i="1" s="1"/>
  <c r="AA21" i="1" l="1"/>
  <c r="Y22" i="1" s="1"/>
  <c r="Z22" i="1" l="1"/>
  <c r="AA22" i="1"/>
  <c r="Y23" i="1" s="1"/>
  <c r="Y24" i="1"/>
  <c r="Z24" i="1" s="1"/>
  <c r="AA23" i="1" l="1"/>
  <c r="Z23" i="1"/>
  <c r="AD23" i="1" s="1"/>
  <c r="AA24" i="1"/>
  <c r="Y25" i="1" s="1"/>
  <c r="Z25" i="1" s="1"/>
  <c r="AA25" i="1" l="1"/>
  <c r="J40" i="19" l="1"/>
  <c r="V30" i="19"/>
  <c r="AH20" i="19"/>
  <c r="J30" i="19"/>
  <c r="V20" i="19"/>
  <c r="AH10" i="19"/>
  <c r="P10" i="19"/>
  <c r="AB50" i="19"/>
  <c r="J50" i="19"/>
  <c r="AB40" i="19"/>
  <c r="P30" i="19"/>
  <c r="V50" i="19"/>
  <c r="P50" i="19"/>
  <c r="AB10" i="19"/>
  <c r="AH30" i="19"/>
  <c r="AH40" i="19"/>
  <c r="J10" i="19"/>
  <c r="AB20" i="19"/>
  <c r="AH50" i="19"/>
  <c r="V10" i="19"/>
  <c r="P20" i="19"/>
  <c r="J20" i="19"/>
  <c r="P40" i="19"/>
  <c r="V40" i="19"/>
  <c r="AB30" i="19"/>
  <c r="J11" i="19"/>
  <c r="V11" i="19"/>
  <c r="AB21" i="19"/>
  <c r="P31" i="19"/>
  <c r="J31" i="19"/>
  <c r="AB41" i="19"/>
  <c r="AH41" i="19"/>
  <c r="P41" i="19"/>
  <c r="J21" i="19"/>
  <c r="AB31" i="19"/>
  <c r="AB51" i="19"/>
  <c r="P21" i="19"/>
  <c r="V41" i="19"/>
  <c r="V31" i="19"/>
  <c r="AH21" i="19"/>
  <c r="AB11" i="19"/>
  <c r="P51" i="19"/>
  <c r="V21" i="19"/>
  <c r="AH31" i="19"/>
  <c r="V51" i="19"/>
  <c r="J51" i="19"/>
  <c r="AH51" i="19"/>
  <c r="AH11" i="19"/>
  <c r="J41" i="19"/>
  <c r="P11" i="19"/>
  <c r="J47" i="19"/>
  <c r="V27" i="19"/>
  <c r="AH7" i="19"/>
  <c r="P47" i="19"/>
  <c r="AB27" i="19"/>
  <c r="J17" i="19"/>
  <c r="V47" i="19"/>
  <c r="J37" i="19"/>
  <c r="AB37" i="19"/>
  <c r="J27" i="19"/>
  <c r="V7" i="19"/>
  <c r="AH37" i="19"/>
  <c r="P27" i="19"/>
  <c r="AB7" i="19"/>
  <c r="P17" i="19"/>
  <c r="V17" i="19"/>
  <c r="AH47" i="19"/>
  <c r="P37" i="19"/>
  <c r="AB17" i="19"/>
  <c r="J7" i="19"/>
  <c r="V37" i="19"/>
  <c r="AH17" i="19"/>
  <c r="P7" i="19"/>
  <c r="AH27" i="19"/>
  <c r="AB47" i="19"/>
  <c r="AB33" i="19"/>
  <c r="V13" i="19"/>
  <c r="AH23" i="19"/>
  <c r="J23" i="19"/>
  <c r="AB43" i="19"/>
  <c r="P43" i="19"/>
  <c r="AB53" i="19"/>
  <c r="V33" i="19"/>
  <c r="P13" i="19"/>
  <c r="J43" i="19"/>
  <c r="V23" i="19"/>
  <c r="J53" i="19"/>
  <c r="AH43" i="19"/>
  <c r="AH13" i="19"/>
  <c r="P53" i="19"/>
  <c r="V43" i="19"/>
  <c r="J13" i="19"/>
  <c r="P33" i="19"/>
  <c r="J33" i="19"/>
  <c r="V53" i="19"/>
  <c r="AH33" i="19"/>
  <c r="AB23" i="19"/>
  <c r="AH53" i="19"/>
  <c r="P23" i="19"/>
  <c r="AB13" i="19"/>
  <c r="J39" i="19"/>
  <c r="AB39" i="19"/>
  <c r="AH49" i="19"/>
  <c r="P39" i="19"/>
  <c r="P9" i="19"/>
  <c r="AB9" i="19"/>
  <c r="V39" i="19"/>
  <c r="V9" i="19"/>
  <c r="AH9" i="19"/>
  <c r="J29" i="19"/>
  <c r="J19" i="19"/>
  <c r="V29" i="19"/>
  <c r="P29" i="19"/>
  <c r="AB49" i="19"/>
  <c r="AB29" i="19"/>
  <c r="P49" i="19"/>
  <c r="J49" i="19"/>
  <c r="P19" i="19"/>
  <c r="V49" i="19"/>
  <c r="AH39" i="19"/>
  <c r="V19" i="19"/>
  <c r="AH19" i="19"/>
  <c r="AH29" i="19"/>
  <c r="AB19" i="19"/>
  <c r="J9" i="19"/>
  <c r="AH8" i="19"/>
  <c r="P18" i="19"/>
  <c r="AB28" i="19"/>
  <c r="P38" i="19"/>
  <c r="AB48" i="19"/>
  <c r="J28" i="19"/>
  <c r="V38" i="19"/>
  <c r="AH38" i="19"/>
  <c r="V8" i="19"/>
  <c r="J48" i="19"/>
  <c r="AH28" i="19"/>
  <c r="P48" i="19"/>
  <c r="AH48" i="19"/>
  <c r="V28" i="19"/>
  <c r="AB38" i="19"/>
  <c r="AB18" i="19"/>
  <c r="AH18" i="19"/>
  <c r="AB8" i="19"/>
  <c r="V48" i="19"/>
  <c r="J8" i="19"/>
  <c r="V18" i="19"/>
  <c r="P28" i="19"/>
  <c r="P8" i="19"/>
  <c r="J18" i="19"/>
  <c r="J38" i="19"/>
  <c r="V32" i="19"/>
  <c r="P42" i="19"/>
  <c r="J12" i="19"/>
  <c r="J32" i="19"/>
  <c r="AB52" i="19"/>
  <c r="J22" i="19"/>
  <c r="V22" i="19"/>
  <c r="J52" i="19"/>
  <c r="AH12" i="19"/>
  <c r="J42" i="19"/>
  <c r="AH42" i="19"/>
  <c r="P32" i="19"/>
  <c r="AB12" i="19"/>
  <c r="AH32" i="19"/>
  <c r="AB32" i="19"/>
  <c r="AB42" i="19"/>
  <c r="V42" i="19"/>
  <c r="V12" i="19"/>
  <c r="V52" i="19"/>
  <c r="AB22" i="19"/>
  <c r="AH52" i="19"/>
  <c r="AH22" i="19"/>
  <c r="P22" i="19"/>
  <c r="P12" i="19"/>
  <c r="P52" i="19"/>
  <c r="W37" i="19" l="1"/>
  <c r="AI7" i="19"/>
  <c r="W17" i="19"/>
  <c r="W27" i="19"/>
  <c r="Q47" i="19"/>
  <c r="W7" i="19"/>
  <c r="AI17" i="19"/>
  <c r="K47" i="19"/>
  <c r="AI47" i="19"/>
  <c r="Q27" i="19"/>
  <c r="AC27" i="19"/>
  <c r="AC47" i="19"/>
  <c r="AC37" i="19"/>
  <c r="AI37" i="19"/>
  <c r="AC17" i="19"/>
  <c r="K37" i="19"/>
  <c r="AC7" i="19"/>
  <c r="W47" i="19"/>
  <c r="Q37" i="19"/>
  <c r="AI27" i="19"/>
  <c r="Q7" i="19"/>
  <c r="K27" i="19"/>
  <c r="K17" i="19"/>
  <c r="K7" i="19"/>
  <c r="Q17" i="19"/>
  <c r="K35" i="19"/>
  <c r="AC25" i="19"/>
  <c r="K45" i="19"/>
  <c r="AI45" i="19"/>
  <c r="W45" i="19"/>
  <c r="Q35" i="19"/>
  <c r="K55" i="19"/>
  <c r="AC15" i="19"/>
  <c r="Q15" i="19"/>
  <c r="AC35" i="19"/>
  <c r="AI35" i="19"/>
  <c r="Q55" i="19"/>
  <c r="AI25" i="19"/>
  <c r="AC55" i="19"/>
  <c r="W15" i="19"/>
  <c r="K15" i="19"/>
  <c r="W25" i="19"/>
  <c r="AC45" i="19"/>
  <c r="Q25" i="19"/>
  <c r="W55" i="19"/>
  <c r="K25" i="19"/>
  <c r="Q45" i="19"/>
  <c r="W35" i="19"/>
  <c r="AI55" i="19"/>
  <c r="AI15" i="19"/>
  <c r="AC14" i="19"/>
  <c r="Q14" i="19"/>
  <c r="AI54" i="19"/>
  <c r="Q54" i="19"/>
  <c r="Q24" i="19"/>
  <c r="AI14" i="19"/>
  <c r="W24" i="19"/>
  <c r="AC44" i="19"/>
  <c r="K54" i="19"/>
  <c r="AI34" i="19"/>
  <c r="W14" i="19"/>
  <c r="K24" i="19"/>
  <c r="AC24" i="19"/>
  <c r="AI44" i="19"/>
  <c r="AI24" i="19"/>
  <c r="W44" i="19"/>
  <c r="Q44" i="19"/>
  <c r="AC54" i="19"/>
  <c r="K44" i="19"/>
  <c r="Q34" i="19"/>
  <c r="W34" i="19"/>
  <c r="K14" i="19"/>
  <c r="W54" i="19"/>
  <c r="K34" i="19"/>
  <c r="AC34" i="19"/>
  <c r="AI41" i="19"/>
  <c r="W11" i="19"/>
  <c r="Q51" i="19"/>
  <c r="W21" i="19"/>
  <c r="AC11" i="19"/>
  <c r="AI51" i="19"/>
  <c r="W41" i="19"/>
  <c r="K41" i="19"/>
  <c r="AI11" i="19"/>
  <c r="AC41" i="19"/>
  <c r="AC21" i="19"/>
  <c r="K31" i="19"/>
  <c r="W51" i="19"/>
  <c r="Q21" i="19"/>
  <c r="Q31" i="19"/>
  <c r="AI21" i="19"/>
  <c r="K51" i="19"/>
  <c r="K21" i="19"/>
  <c r="AI31" i="19"/>
  <c r="Q41" i="19"/>
  <c r="K11" i="19"/>
  <c r="AC31" i="19"/>
  <c r="AC51" i="19"/>
  <c r="W31" i="19"/>
  <c r="Q11" i="19"/>
  <c r="AD55" i="19"/>
  <c r="R15" i="19"/>
  <c r="AJ35" i="19"/>
  <c r="X45" i="19"/>
  <c r="AJ15" i="19"/>
  <c r="AJ55" i="19"/>
  <c r="R25" i="19"/>
  <c r="X15" i="19"/>
  <c r="R55" i="19"/>
  <c r="X55" i="19"/>
  <c r="AD15" i="19"/>
  <c r="L35" i="19"/>
  <c r="L15" i="19"/>
  <c r="L45" i="19"/>
  <c r="AD45" i="19"/>
  <c r="L25" i="19"/>
  <c r="AD25" i="19"/>
  <c r="X35" i="19"/>
  <c r="X25" i="19"/>
  <c r="R35" i="19"/>
  <c r="AJ25" i="19"/>
  <c r="AD35" i="19"/>
  <c r="R45" i="19"/>
  <c r="AJ45" i="19"/>
  <c r="L55" i="19"/>
  <c r="P54" i="19"/>
  <c r="AH14" i="19"/>
  <c r="AB14" i="19"/>
  <c r="AH34" i="19"/>
  <c r="AB54" i="19"/>
  <c r="AH54" i="19"/>
  <c r="V14" i="19"/>
  <c r="J54" i="19"/>
  <c r="AH44" i="19"/>
  <c r="V54" i="19"/>
  <c r="J14" i="19"/>
  <c r="AH24" i="19"/>
  <c r="V34" i="19"/>
  <c r="AB44" i="19"/>
  <c r="AB34" i="19"/>
  <c r="P14" i="19"/>
  <c r="V24" i="19"/>
  <c r="AB24" i="19"/>
  <c r="V44" i="19"/>
  <c r="P34" i="19"/>
  <c r="J34" i="19"/>
  <c r="P24" i="19"/>
  <c r="J44" i="19"/>
  <c r="J24" i="19"/>
  <c r="P44" i="19"/>
  <c r="AJ52" i="19"/>
  <c r="AJ32" i="19"/>
  <c r="L32" i="19"/>
  <c r="AJ42" i="19"/>
  <c r="L12" i="19"/>
  <c r="L52" i="19"/>
  <c r="X12" i="19"/>
  <c r="R12" i="19"/>
  <c r="AD42" i="19"/>
  <c r="X42" i="19"/>
  <c r="AJ12" i="19"/>
  <c r="X32" i="19"/>
  <c r="R52" i="19"/>
  <c r="R32" i="19"/>
  <c r="X22" i="19"/>
  <c r="AJ22" i="19"/>
  <c r="L22" i="19"/>
  <c r="R22" i="19"/>
  <c r="AD12" i="19"/>
  <c r="AD32" i="19"/>
  <c r="AD22" i="19"/>
  <c r="X52" i="19"/>
  <c r="AD52" i="19"/>
  <c r="L42" i="19"/>
  <c r="R42" i="19"/>
  <c r="AJ21" i="19"/>
  <c r="AD31" i="19"/>
  <c r="R21" i="19"/>
  <c r="AD41" i="19"/>
  <c r="AJ11" i="19"/>
  <c r="AJ51" i="19"/>
  <c r="L41" i="19"/>
  <c r="AD11" i="19"/>
  <c r="L21" i="19"/>
  <c r="L11" i="19"/>
  <c r="X51" i="19"/>
  <c r="X21" i="19"/>
  <c r="R11" i="19"/>
  <c r="R31" i="19"/>
  <c r="AJ41" i="19"/>
  <c r="L31" i="19"/>
  <c r="R51" i="19"/>
  <c r="X31" i="19"/>
  <c r="X11" i="19"/>
  <c r="X41" i="19"/>
  <c r="AJ31" i="19"/>
  <c r="AD51" i="19"/>
  <c r="R41" i="19"/>
  <c r="AD21" i="19"/>
  <c r="L51" i="19"/>
  <c r="K42" i="19"/>
  <c r="AC32" i="19"/>
  <c r="W42" i="19"/>
  <c r="AI52" i="19"/>
  <c r="K22" i="19"/>
  <c r="Q32" i="19"/>
  <c r="AI12" i="19"/>
  <c r="AC52" i="19"/>
  <c r="Q42" i="19"/>
  <c r="AC42" i="19"/>
  <c r="K12" i="19"/>
  <c r="Q22" i="19"/>
  <c r="W52" i="19"/>
  <c r="AI42" i="19"/>
  <c r="W32" i="19"/>
  <c r="AI22" i="19"/>
  <c r="W12" i="19"/>
  <c r="AI32" i="19"/>
  <c r="AC12" i="19"/>
  <c r="Q12" i="19"/>
  <c r="Q52" i="19"/>
  <c r="K32" i="19"/>
  <c r="W22" i="19"/>
  <c r="K52" i="19"/>
  <c r="AC22" i="19"/>
  <c r="AC40" i="19"/>
  <c r="W10" i="19"/>
  <c r="AC50" i="19"/>
  <c r="Q10" i="19"/>
  <c r="Q30" i="19"/>
  <c r="W50" i="19"/>
  <c r="K40" i="19"/>
  <c r="Q50" i="19"/>
  <c r="W20" i="19"/>
  <c r="K10" i="19"/>
  <c r="Q40" i="19"/>
  <c r="K30" i="19"/>
  <c r="AI50" i="19"/>
  <c r="AI20" i="19"/>
  <c r="K50" i="19"/>
  <c r="AI40" i="19"/>
  <c r="W40" i="19"/>
  <c r="K20" i="19"/>
  <c r="AC10" i="19"/>
  <c r="AI10" i="19"/>
  <c r="AC20" i="19"/>
  <c r="AI30" i="19"/>
  <c r="AC30" i="19"/>
  <c r="W30" i="19"/>
  <c r="Q20" i="19"/>
  <c r="K39" i="19"/>
  <c r="AC39" i="19"/>
  <c r="W29" i="19"/>
  <c r="AI49" i="19"/>
  <c r="W9" i="19"/>
  <c r="AC19" i="19"/>
  <c r="Q49" i="19"/>
  <c r="W49" i="19"/>
  <c r="AC9" i="19"/>
  <c r="AI9" i="19"/>
  <c r="Q29" i="19"/>
  <c r="W39" i="19"/>
  <c r="Q39" i="19"/>
  <c r="K9" i="19"/>
  <c r="W19" i="19"/>
  <c r="AI39" i="19"/>
  <c r="K29" i="19"/>
  <c r="AC49" i="19"/>
  <c r="AI19" i="19"/>
  <c r="AC29" i="19"/>
  <c r="K19" i="19"/>
  <c r="K49" i="19"/>
  <c r="Q19" i="19"/>
  <c r="Q9" i="19"/>
  <c r="AI29" i="19"/>
  <c r="K23" i="19"/>
  <c r="AI43" i="19"/>
  <c r="AC43" i="19"/>
  <c r="AC53" i="19"/>
  <c r="W43" i="19"/>
  <c r="K13" i="19"/>
  <c r="Q53" i="19"/>
  <c r="AI53" i="19"/>
  <c r="K33" i="19"/>
  <c r="K43" i="19"/>
  <c r="AI33" i="19"/>
  <c r="AC33" i="19"/>
  <c r="Q33" i="19"/>
  <c r="AI23" i="19"/>
  <c r="K53" i="19"/>
  <c r="AC23" i="19"/>
  <c r="AC13" i="19"/>
  <c r="W23" i="19"/>
  <c r="W33" i="19"/>
  <c r="Q13" i="19"/>
  <c r="W13" i="19"/>
  <c r="AI13" i="19"/>
  <c r="Q43" i="19"/>
  <c r="Q23" i="19"/>
  <c r="W53" i="19"/>
  <c r="M12" i="19"/>
  <c r="AK42" i="19"/>
  <c r="AE32" i="19"/>
  <c r="M52" i="19"/>
  <c r="S12" i="19"/>
  <c r="M32" i="19"/>
  <c r="S52" i="19"/>
  <c r="Y52" i="19"/>
  <c r="Y42" i="19"/>
  <c r="AK12" i="19"/>
  <c r="S22" i="19"/>
  <c r="AE12" i="19"/>
  <c r="Y22" i="19"/>
  <c r="S32" i="19"/>
  <c r="AK52" i="19"/>
  <c r="M22" i="19"/>
  <c r="AK32" i="19"/>
  <c r="AE22" i="19"/>
  <c r="AE42" i="19"/>
  <c r="Y32" i="19"/>
  <c r="M42" i="19"/>
  <c r="Y12" i="19"/>
  <c r="AE52" i="19"/>
  <c r="AK22" i="19"/>
  <c r="S42" i="19"/>
  <c r="AC24" i="1"/>
  <c r="AB24" i="1" s="1"/>
  <c r="AC18" i="19"/>
  <c r="W28" i="19"/>
  <c r="W38" i="19"/>
  <c r="K18" i="19"/>
  <c r="AC8" i="19"/>
  <c r="AI48" i="19"/>
  <c r="AI28" i="19"/>
  <c r="K8" i="19"/>
  <c r="W18" i="19"/>
  <c r="W8" i="19"/>
  <c r="K38" i="19"/>
  <c r="AC28" i="19"/>
  <c r="AI8" i="19"/>
  <c r="Q8" i="19"/>
  <c r="W48" i="19"/>
  <c r="AI18" i="19"/>
  <c r="Q48" i="19"/>
  <c r="K48" i="19"/>
  <c r="Q38" i="19"/>
  <c r="K28" i="19"/>
  <c r="AC38" i="19"/>
  <c r="AC48" i="19"/>
  <c r="AI38" i="19"/>
  <c r="Q18" i="19"/>
  <c r="Q28" i="19"/>
  <c r="AC25" i="1" l="1"/>
  <c r="AB25" i="1" s="1"/>
  <c r="R40" i="19"/>
  <c r="AD10" i="19"/>
  <c r="X40" i="19"/>
  <c r="AJ10" i="19"/>
  <c r="R50" i="19"/>
  <c r="X10" i="19"/>
  <c r="R30" i="19"/>
  <c r="L10" i="19"/>
  <c r="L50" i="19"/>
  <c r="AJ20" i="19"/>
  <c r="AJ40" i="19"/>
  <c r="AD30" i="19"/>
  <c r="R20" i="19"/>
  <c r="AD50" i="19"/>
  <c r="AJ30" i="19"/>
  <c r="AJ50" i="19"/>
  <c r="X30" i="19"/>
  <c r="AD20" i="19"/>
  <c r="L40" i="19"/>
  <c r="X50" i="19"/>
  <c r="X20" i="19"/>
  <c r="AD40" i="19"/>
  <c r="R10" i="19"/>
  <c r="L30" i="19"/>
  <c r="L20" i="19"/>
  <c r="AD47" i="19"/>
  <c r="AJ27" i="19"/>
  <c r="AD27" i="19"/>
  <c r="AJ7" i="19"/>
  <c r="AJ37" i="19"/>
  <c r="L27" i="19"/>
  <c r="AD17" i="19"/>
  <c r="L37" i="19"/>
  <c r="R17" i="19"/>
  <c r="AJ17" i="19"/>
  <c r="X7" i="19"/>
  <c r="X47" i="19"/>
  <c r="L7" i="19"/>
  <c r="L17" i="19"/>
  <c r="R27" i="19"/>
  <c r="X27" i="19"/>
  <c r="R7" i="19"/>
  <c r="X17" i="19"/>
  <c r="AJ47" i="19"/>
  <c r="L47" i="19"/>
  <c r="R37" i="19"/>
  <c r="AD7" i="19"/>
  <c r="X37" i="19"/>
  <c r="R47" i="19"/>
  <c r="AD37" i="19"/>
  <c r="AJ43" i="19"/>
  <c r="AD33" i="19"/>
  <c r="X33" i="19"/>
  <c r="X13" i="19"/>
  <c r="AD43" i="19"/>
  <c r="L43" i="19"/>
  <c r="X23" i="19"/>
  <c r="R33" i="19"/>
  <c r="R43" i="19"/>
  <c r="AD53" i="19"/>
  <c r="AJ13" i="19"/>
  <c r="R23" i="19"/>
  <c r="R13" i="19"/>
  <c r="AJ53" i="19"/>
  <c r="L33" i="19"/>
  <c r="L23" i="19"/>
  <c r="X43" i="19"/>
  <c r="X53" i="19"/>
  <c r="AD13" i="19"/>
  <c r="L53" i="19"/>
  <c r="L13" i="19"/>
  <c r="AD23" i="19"/>
  <c r="AJ33" i="19"/>
  <c r="AJ23" i="19"/>
  <c r="R53" i="19"/>
  <c r="M55" i="19"/>
  <c r="AK15" i="19"/>
  <c r="AE25" i="19"/>
  <c r="Y35" i="19"/>
  <c r="M25" i="19"/>
  <c r="S55" i="19"/>
  <c r="S45" i="19"/>
  <c r="S35" i="19"/>
  <c r="M15" i="19"/>
  <c r="AE45" i="19"/>
  <c r="Y15" i="19"/>
  <c r="AK45" i="19"/>
  <c r="AE55" i="19"/>
  <c r="M35" i="19"/>
  <c r="M45" i="19"/>
  <c r="S25" i="19"/>
  <c r="AK35" i="19"/>
  <c r="Y25" i="19"/>
  <c r="AE15" i="19"/>
  <c r="Y45" i="19"/>
  <c r="AE35" i="19"/>
  <c r="AK25" i="19"/>
  <c r="Y55" i="19"/>
  <c r="S15" i="19"/>
  <c r="AK55" i="19"/>
  <c r="X8" i="19"/>
  <c r="R48" i="19"/>
  <c r="L8" i="19"/>
  <c r="AD38" i="19"/>
  <c r="AD48" i="19"/>
  <c r="AD8" i="19"/>
  <c r="R18" i="19"/>
  <c r="L38" i="19"/>
  <c r="AJ28" i="19"/>
  <c r="X18" i="19"/>
  <c r="X48" i="19"/>
  <c r="R28" i="19"/>
  <c r="L18" i="19"/>
  <c r="X28" i="19"/>
  <c r="R8" i="19"/>
  <c r="X38" i="19"/>
  <c r="AJ8" i="19"/>
  <c r="AD18" i="19"/>
  <c r="AJ38" i="19"/>
  <c r="L48" i="19"/>
  <c r="AJ48" i="19"/>
  <c r="AJ18" i="19"/>
  <c r="R38" i="19"/>
  <c r="AD28" i="19"/>
  <c r="L28" i="19"/>
  <c r="Z11" i="19"/>
  <c r="AF31" i="19"/>
  <c r="T51" i="19"/>
  <c r="N51" i="19"/>
  <c r="Z41" i="19"/>
  <c r="AF21" i="19"/>
  <c r="AL31" i="19"/>
  <c r="T31" i="19"/>
  <c r="Z31" i="19"/>
  <c r="N21" i="19"/>
  <c r="N31" i="19"/>
  <c r="AL11" i="19"/>
  <c r="T11" i="19"/>
  <c r="AF11" i="19"/>
  <c r="AL41" i="19"/>
  <c r="T21" i="19"/>
  <c r="Z21" i="19"/>
  <c r="AL51" i="19"/>
  <c r="N11" i="19"/>
  <c r="AF51" i="19"/>
  <c r="N41" i="19"/>
  <c r="Z51" i="19"/>
  <c r="AL21" i="19"/>
  <c r="T41" i="19"/>
  <c r="AF41" i="19"/>
  <c r="AE46" i="19"/>
  <c r="M36" i="19"/>
  <c r="Y16" i="19"/>
  <c r="AK46" i="19"/>
  <c r="S36" i="19"/>
  <c r="AE16" i="19"/>
  <c r="M6" i="19"/>
  <c r="AK16" i="19"/>
  <c r="M26" i="19"/>
  <c r="S46" i="19"/>
  <c r="AE26" i="19"/>
  <c r="M16" i="19"/>
  <c r="Y46" i="19"/>
  <c r="AK26" i="19"/>
  <c r="S16" i="19"/>
  <c r="Y6" i="19"/>
  <c r="AK36" i="19"/>
  <c r="S26" i="19"/>
  <c r="AE6" i="19"/>
  <c r="M46" i="19"/>
  <c r="Y26" i="19"/>
  <c r="AK6" i="19"/>
  <c r="Y36" i="19"/>
  <c r="S6" i="19"/>
  <c r="AE36" i="19"/>
  <c r="O11" i="19"/>
  <c r="O21" i="19"/>
  <c r="O51" i="19"/>
  <c r="AA31" i="19"/>
  <c r="AM31" i="19"/>
  <c r="AG51" i="19"/>
  <c r="AA41" i="19"/>
  <c r="AM11" i="19"/>
  <c r="U21" i="19"/>
  <c r="AG41" i="19"/>
  <c r="AM21" i="19"/>
  <c r="AM51" i="19"/>
  <c r="O41" i="19"/>
  <c r="U11" i="19"/>
  <c r="AG31" i="19"/>
  <c r="U41" i="19"/>
  <c r="AG11" i="19"/>
  <c r="AM41" i="19"/>
  <c r="AA21" i="19"/>
  <c r="AA51" i="19"/>
  <c r="U51" i="19"/>
  <c r="U31" i="19"/>
  <c r="AA11" i="19"/>
  <c r="AG21" i="19"/>
  <c r="O31" i="19"/>
  <c r="AE11" i="19"/>
  <c r="Y41" i="19"/>
  <c r="M41" i="19"/>
  <c r="Y21" i="19"/>
  <c r="AK41" i="19"/>
  <c r="S31" i="19"/>
  <c r="M31" i="19"/>
  <c r="M51" i="19"/>
  <c r="Y51" i="19"/>
  <c r="AK21" i="19"/>
  <c r="AK31" i="19"/>
  <c r="Y11" i="19"/>
  <c r="AE41" i="19"/>
  <c r="AE21" i="19"/>
  <c r="S51" i="19"/>
  <c r="AE51" i="19"/>
  <c r="AK51" i="19"/>
  <c r="M21" i="19"/>
  <c r="AE31" i="19"/>
  <c r="S41" i="19"/>
  <c r="AK11" i="19"/>
  <c r="S11" i="19"/>
  <c r="Y31" i="19"/>
  <c r="S21" i="19"/>
  <c r="M11" i="19"/>
  <c r="L54" i="19"/>
  <c r="AJ14" i="19"/>
  <c r="AD44" i="19"/>
  <c r="X54" i="19"/>
  <c r="R14" i="19"/>
  <c r="AD24" i="19"/>
  <c r="AD34" i="19"/>
  <c r="R54" i="19"/>
  <c r="L34" i="19"/>
  <c r="AJ34" i="19"/>
  <c r="X24" i="19"/>
  <c r="AJ24" i="19"/>
  <c r="X44" i="19"/>
  <c r="R24" i="19"/>
  <c r="X34" i="19"/>
  <c r="L14" i="19"/>
  <c r="AD14" i="19"/>
  <c r="L44" i="19"/>
  <c r="R44" i="19"/>
  <c r="AD54" i="19"/>
  <c r="X14" i="19"/>
  <c r="AJ44" i="19"/>
  <c r="R34" i="19"/>
  <c r="AJ54" i="19"/>
  <c r="L24" i="19"/>
  <c r="AD29" i="19"/>
  <c r="AD19" i="19"/>
  <c r="R39" i="19"/>
  <c r="R9" i="19"/>
  <c r="X49" i="19"/>
  <c r="X9" i="19"/>
  <c r="AD39" i="19"/>
  <c r="R29" i="19"/>
  <c r="L49" i="19"/>
  <c r="X19" i="19"/>
  <c r="X29" i="19"/>
  <c r="X39" i="19"/>
  <c r="L9" i="19"/>
  <c r="AD9" i="19"/>
  <c r="AJ49" i="19"/>
  <c r="L39" i="19"/>
  <c r="R19" i="19"/>
  <c r="AJ39" i="19"/>
  <c r="AJ29" i="19"/>
  <c r="AJ19" i="19"/>
  <c r="AJ9" i="19"/>
  <c r="AD49" i="19"/>
  <c r="L19" i="19"/>
  <c r="L29" i="19"/>
  <c r="R49" i="19"/>
  <c r="AG39" i="19" l="1"/>
  <c r="AG29" i="19"/>
  <c r="AM19" i="19"/>
  <c r="O39" i="19"/>
  <c r="AG49" i="19"/>
  <c r="O29" i="19"/>
  <c r="U29" i="19"/>
  <c r="O49" i="19"/>
  <c r="U49" i="19"/>
  <c r="AA19" i="19"/>
  <c r="U39" i="19"/>
  <c r="AG9" i="19"/>
  <c r="AA39" i="19"/>
  <c r="AM49" i="19"/>
  <c r="O19" i="19"/>
  <c r="AM39" i="19"/>
  <c r="AM29" i="19"/>
  <c r="O9" i="19"/>
  <c r="AM9" i="19"/>
  <c r="AA49" i="19"/>
  <c r="AG19" i="19"/>
  <c r="U9" i="19"/>
  <c r="U19" i="19"/>
  <c r="AA9" i="19"/>
  <c r="AA29" i="19"/>
  <c r="AE54" i="19"/>
  <c r="S24" i="19"/>
  <c r="AE34" i="19"/>
  <c r="Y54" i="19"/>
  <c r="AE14" i="19"/>
  <c r="Y34" i="19"/>
  <c r="M44" i="19"/>
  <c r="AK54" i="19"/>
  <c r="M24" i="19"/>
  <c r="AK34" i="19"/>
  <c r="Y14" i="19"/>
  <c r="AK14" i="19"/>
  <c r="Y24" i="19"/>
  <c r="S44" i="19"/>
  <c r="M34" i="19"/>
  <c r="AK44" i="19"/>
  <c r="M54" i="19"/>
  <c r="Y44" i="19"/>
  <c r="S54" i="19"/>
  <c r="AK24" i="19"/>
  <c r="M14" i="19"/>
  <c r="AE44" i="19"/>
  <c r="S34" i="19"/>
  <c r="AE24" i="19"/>
  <c r="S14" i="19"/>
  <c r="AK17" i="19"/>
  <c r="S27" i="19"/>
  <c r="S37" i="19"/>
  <c r="AE27" i="19"/>
  <c r="Y47" i="19"/>
  <c r="S7" i="19"/>
  <c r="M17" i="19"/>
  <c r="AE17" i="19"/>
  <c r="AK27" i="19"/>
  <c r="Y7" i="19"/>
  <c r="Y37" i="19"/>
  <c r="AE37" i="19"/>
  <c r="Y27" i="19"/>
  <c r="M47" i="19"/>
  <c r="AE47" i="19"/>
  <c r="Y17" i="19"/>
  <c r="AE7" i="19"/>
  <c r="M27" i="19"/>
  <c r="S47" i="19"/>
  <c r="M7" i="19"/>
  <c r="M37" i="19"/>
  <c r="S17" i="19"/>
  <c r="AK7" i="19"/>
  <c r="AK47" i="19"/>
  <c r="AK37" i="19"/>
  <c r="M48" i="19"/>
  <c r="S48" i="19"/>
  <c r="AE8" i="19"/>
  <c r="AE38" i="19"/>
  <c r="M38" i="19"/>
  <c r="AE18" i="19"/>
  <c r="AK48" i="19"/>
  <c r="AK18" i="19"/>
  <c r="AK28" i="19"/>
  <c r="S28" i="19"/>
  <c r="Y48" i="19"/>
  <c r="M8" i="19"/>
  <c r="Y8" i="19"/>
  <c r="M28" i="19"/>
  <c r="AK38" i="19"/>
  <c r="M18" i="19"/>
  <c r="Y28" i="19"/>
  <c r="S38" i="19"/>
  <c r="AE48" i="19"/>
  <c r="Y18" i="19"/>
  <c r="AK8" i="19"/>
  <c r="Y38" i="19"/>
  <c r="S8" i="19"/>
  <c r="S18" i="19"/>
  <c r="AE28" i="19"/>
  <c r="AA55" i="19"/>
  <c r="O45" i="19"/>
  <c r="AA15" i="19"/>
  <c r="AM55" i="19"/>
  <c r="O55" i="19"/>
  <c r="AG35" i="19"/>
  <c r="AM25" i="19"/>
  <c r="AM35" i="19"/>
  <c r="AA25" i="19"/>
  <c r="AM45" i="19"/>
  <c r="AG25" i="19"/>
  <c r="AA35" i="19"/>
  <c r="O25" i="19"/>
  <c r="U25" i="19"/>
  <c r="AG45" i="19"/>
  <c r="U35" i="19"/>
  <c r="AA45" i="19"/>
  <c r="AM15" i="19"/>
  <c r="U45" i="19"/>
  <c r="O35" i="19"/>
  <c r="O15" i="19"/>
  <c r="AG15" i="19"/>
  <c r="U15" i="19"/>
  <c r="AG55" i="19"/>
  <c r="U55" i="19"/>
  <c r="AE40" i="19"/>
  <c r="Y30" i="19"/>
  <c r="M20" i="19"/>
  <c r="Y20" i="19"/>
  <c r="M40" i="19"/>
  <c r="M10" i="19"/>
  <c r="AK20" i="19"/>
  <c r="AK10" i="19"/>
  <c r="AK30" i="19"/>
  <c r="Y40" i="19"/>
  <c r="S40" i="19"/>
  <c r="AE30" i="19"/>
  <c r="Y10" i="19"/>
  <c r="M30" i="19"/>
  <c r="AE50" i="19"/>
  <c r="AE20" i="19"/>
  <c r="S50" i="19"/>
  <c r="S10" i="19"/>
  <c r="Y50" i="19"/>
  <c r="S30" i="19"/>
  <c r="AK50" i="19"/>
  <c r="AE10" i="19"/>
  <c r="S20" i="19"/>
  <c r="M50" i="19"/>
  <c r="AK40" i="19"/>
  <c r="AF39" i="19"/>
  <c r="AL19" i="19"/>
  <c r="N39" i="19"/>
  <c r="Z19" i="19"/>
  <c r="AF19" i="19"/>
  <c r="N29" i="19"/>
  <c r="AL29" i="19"/>
  <c r="AL39" i="19"/>
  <c r="AF49" i="19"/>
  <c r="AF9" i="19"/>
  <c r="AL9" i="19"/>
  <c r="N49" i="19"/>
  <c r="Z9" i="19"/>
  <c r="Z49" i="19"/>
  <c r="N19" i="19"/>
  <c r="Z39" i="19"/>
  <c r="T9" i="19"/>
  <c r="T39" i="19"/>
  <c r="Z29" i="19"/>
  <c r="N9" i="19"/>
  <c r="T49" i="19"/>
  <c r="T19" i="19"/>
  <c r="AL49" i="19"/>
  <c r="T29" i="19"/>
  <c r="AF29" i="19"/>
  <c r="T18" i="19"/>
  <c r="N48" i="19"/>
  <c r="N8" i="19"/>
  <c r="T28" i="19"/>
  <c r="AF38" i="19"/>
  <c r="Z28" i="19"/>
  <c r="Z18" i="19"/>
  <c r="AF8" i="19"/>
  <c r="AL8" i="19"/>
  <c r="Z48" i="19"/>
  <c r="AL48" i="19"/>
  <c r="AL28" i="19"/>
  <c r="N38" i="19"/>
  <c r="AL38" i="19"/>
  <c r="AF28" i="19"/>
  <c r="AF18" i="19"/>
  <c r="AL18" i="19"/>
  <c r="Z8" i="19"/>
  <c r="T48" i="19"/>
  <c r="T8" i="19"/>
  <c r="T38" i="19"/>
  <c r="Z38" i="19"/>
  <c r="AF48" i="19"/>
  <c r="N28" i="19"/>
  <c r="N18" i="19"/>
  <c r="AL55" i="19"/>
  <c r="Z45" i="19"/>
  <c r="Z35" i="19"/>
  <c r="N25" i="19"/>
  <c r="Z55" i="19"/>
  <c r="N45" i="19"/>
  <c r="T35" i="19"/>
  <c r="T45" i="19"/>
  <c r="AL25" i="19"/>
  <c r="AL15" i="19"/>
  <c r="N35" i="19"/>
  <c r="AL35" i="19"/>
  <c r="Z25" i="19"/>
  <c r="AF25" i="19"/>
  <c r="T15" i="19"/>
  <c r="T55" i="19"/>
  <c r="AL45" i="19"/>
  <c r="T25" i="19"/>
  <c r="AF45" i="19"/>
  <c r="AF15" i="19"/>
  <c r="N15" i="19"/>
  <c r="AF55" i="19"/>
  <c r="N55" i="19"/>
  <c r="Z15" i="19"/>
  <c r="AF35" i="19"/>
  <c r="S39" i="19"/>
  <c r="M49" i="19"/>
  <c r="AE19" i="19"/>
  <c r="S49" i="19"/>
  <c r="AK19" i="19"/>
  <c r="Y9" i="19"/>
  <c r="M29" i="19"/>
  <c r="AE49" i="19"/>
  <c r="Y39" i="19"/>
  <c r="AK49" i="19"/>
  <c r="AK29" i="19"/>
  <c r="AK39" i="19"/>
  <c r="S19" i="19"/>
  <c r="M19" i="19"/>
  <c r="AE9" i="19"/>
  <c r="AE39" i="19"/>
  <c r="M39" i="19"/>
  <c r="AK9" i="19"/>
  <c r="Y19" i="19"/>
  <c r="S29" i="19"/>
  <c r="S9" i="19"/>
  <c r="AE29" i="19"/>
  <c r="Y49" i="19"/>
  <c r="M9" i="19"/>
  <c r="Y29" i="19"/>
  <c r="AM46" i="19"/>
  <c r="U36" i="19"/>
  <c r="AG16" i="19"/>
  <c r="O6" i="19"/>
  <c r="AA36" i="19"/>
  <c r="AM16" i="19"/>
  <c r="U6" i="19"/>
  <c r="AG46" i="19"/>
  <c r="AA16" i="19"/>
  <c r="AD25" i="1"/>
  <c r="AA6" i="19"/>
  <c r="AG6" i="19"/>
  <c r="AA46" i="19"/>
  <c r="AM26" i="19"/>
  <c r="U16" i="19"/>
  <c r="O36" i="19"/>
  <c r="U26" i="19"/>
  <c r="O46" i="19"/>
  <c r="AA26" i="19"/>
  <c r="AM6" i="19"/>
  <c r="U46" i="19"/>
  <c r="AG26" i="19"/>
  <c r="O16" i="19"/>
  <c r="AG36" i="19"/>
  <c r="O26" i="19"/>
  <c r="AM36" i="19"/>
  <c r="O8" i="19"/>
  <c r="AA48" i="19"/>
  <c r="AM38" i="19"/>
  <c r="U48" i="19"/>
  <c r="AA18" i="19"/>
  <c r="AG18" i="19"/>
  <c r="AG48" i="19"/>
  <c r="AM18" i="19"/>
  <c r="AA28" i="19"/>
  <c r="AG28" i="19"/>
  <c r="AA8" i="19"/>
  <c r="U18" i="19"/>
  <c r="AG38" i="19"/>
  <c r="U38" i="19"/>
  <c r="AM8" i="19"/>
  <c r="AA38" i="19"/>
  <c r="AM48" i="19"/>
  <c r="U28" i="19"/>
  <c r="O38" i="19"/>
  <c r="U8" i="19"/>
  <c r="AG8" i="19"/>
  <c r="O18" i="19"/>
  <c r="O28" i="19"/>
  <c r="O48" i="19"/>
  <c r="AM28" i="19"/>
  <c r="Y33" i="19"/>
  <c r="AE13" i="19"/>
  <c r="S23" i="19"/>
  <c r="Y13" i="19"/>
  <c r="AE23" i="19"/>
  <c r="AK33" i="19"/>
  <c r="AK13" i="19"/>
  <c r="S43" i="19"/>
  <c r="M23" i="19"/>
  <c r="Y43" i="19"/>
  <c r="M43" i="19"/>
  <c r="AE43" i="19"/>
  <c r="AE53" i="19"/>
  <c r="M13" i="19"/>
  <c r="AK43" i="19"/>
  <c r="AK23" i="19"/>
  <c r="Y23" i="19"/>
  <c r="AE33" i="19"/>
  <c r="M53" i="19"/>
  <c r="S13" i="19"/>
  <c r="S33" i="19"/>
  <c r="AK53" i="19"/>
  <c r="Y53" i="19"/>
  <c r="S53" i="19"/>
  <c r="M33" i="19"/>
  <c r="AF6" i="19"/>
  <c r="N46" i="19"/>
  <c r="Z26" i="19"/>
  <c r="AL6" i="19"/>
  <c r="AL36" i="19"/>
  <c r="AF26" i="19"/>
  <c r="Z6" i="19"/>
  <c r="T26" i="19"/>
  <c r="Z46" i="19"/>
  <c r="AF46" i="19"/>
  <c r="T46" i="19"/>
  <c r="T6" i="19"/>
  <c r="AF36" i="19"/>
  <c r="N26" i="19"/>
  <c r="Z16" i="19"/>
  <c r="AL26" i="19"/>
  <c r="Z36" i="19"/>
  <c r="N36" i="19"/>
  <c r="AL46" i="19"/>
  <c r="T36" i="19"/>
  <c r="AF16" i="19"/>
  <c r="N6" i="19"/>
  <c r="N16" i="19"/>
  <c r="AD24" i="1"/>
  <c r="AL16" i="19"/>
  <c r="T16" i="19"/>
  <c r="AG24" i="19" l="1"/>
  <c r="O44" i="19"/>
  <c r="O24" i="19"/>
  <c r="AM14" i="19"/>
  <c r="AG34" i="19"/>
  <c r="O34" i="19"/>
  <c r="AA44" i="19"/>
  <c r="O14" i="19"/>
  <c r="AA54" i="19"/>
  <c r="U14" i="19"/>
  <c r="AM44" i="19"/>
  <c r="AA34" i="19"/>
  <c r="AM24" i="19"/>
  <c r="AM54" i="19"/>
  <c r="AG14" i="19"/>
  <c r="AM34" i="19"/>
  <c r="U54" i="19"/>
  <c r="AG44" i="19"/>
  <c r="AA24" i="19"/>
  <c r="AG54" i="19"/>
  <c r="U34" i="19"/>
  <c r="U24" i="19"/>
  <c r="AA14" i="19"/>
  <c r="O54" i="19"/>
  <c r="U44" i="19"/>
  <c r="U43" i="19"/>
  <c r="U13" i="19"/>
  <c r="AM53" i="19"/>
  <c r="AA53" i="19"/>
  <c r="AA43" i="19"/>
  <c r="O53" i="19"/>
  <c r="O23" i="19"/>
  <c r="O13" i="19"/>
  <c r="AG43" i="19"/>
  <c r="U33" i="19"/>
  <c r="U23" i="19"/>
  <c r="AM13" i="19"/>
  <c r="AM23" i="19"/>
  <c r="AG13" i="19"/>
  <c r="AA23" i="19"/>
  <c r="AG33" i="19"/>
  <c r="AA33" i="19"/>
  <c r="AM33" i="19"/>
  <c r="AA13" i="19"/>
  <c r="AG23" i="19"/>
  <c r="U53" i="19"/>
  <c r="AG53" i="19"/>
  <c r="O43" i="19"/>
  <c r="AM43" i="19"/>
  <c r="O33" i="19"/>
  <c r="AF54" i="19"/>
  <c r="AL34" i="19"/>
  <c r="AF34" i="19"/>
  <c r="AL14" i="19"/>
  <c r="AF44" i="19"/>
  <c r="T44" i="19"/>
  <c r="N14" i="19"/>
  <c r="N44" i="19"/>
  <c r="T24" i="19"/>
  <c r="N24" i="19"/>
  <c r="AL44" i="19"/>
  <c r="N34" i="19"/>
  <c r="Z44" i="19"/>
  <c r="Z24" i="19"/>
  <c r="T14" i="19"/>
  <c r="N54" i="19"/>
  <c r="T34" i="19"/>
  <c r="Z14" i="19"/>
  <c r="AF24" i="19"/>
  <c r="AF14" i="19"/>
  <c r="Z54" i="19"/>
  <c r="AL54" i="19"/>
  <c r="T54" i="19"/>
  <c r="AL24" i="19"/>
  <c r="Z34" i="19"/>
  <c r="AF53" i="19"/>
  <c r="T43" i="19"/>
  <c r="Z53" i="19"/>
  <c r="N43" i="19"/>
  <c r="T23" i="19"/>
  <c r="AF43" i="19"/>
  <c r="Z13" i="19"/>
  <c r="Z43" i="19"/>
  <c r="AF23" i="19"/>
  <c r="AL13" i="19"/>
  <c r="Z23" i="19"/>
  <c r="AL43" i="19"/>
  <c r="AF13" i="19"/>
  <c r="AL23" i="19"/>
  <c r="N13" i="19"/>
  <c r="T33" i="19"/>
  <c r="AL53" i="19"/>
  <c r="N23" i="19"/>
  <c r="N53" i="19"/>
  <c r="AF33" i="19"/>
  <c r="N33" i="19"/>
  <c r="T53" i="19"/>
  <c r="AL33" i="19"/>
  <c r="T13" i="19"/>
  <c r="Z33" i="19"/>
  <c r="Z47" i="19"/>
  <c r="T7" i="19"/>
  <c r="AL37" i="19"/>
  <c r="T17" i="19"/>
  <c r="Z17" i="19"/>
  <c r="AF7" i="19"/>
  <c r="AF37" i="19"/>
  <c r="N17" i="19"/>
  <c r="AF27" i="19"/>
  <c r="AF47" i="19"/>
  <c r="AL47" i="19"/>
  <c r="T27" i="19"/>
  <c r="Z37" i="19"/>
  <c r="T37" i="19"/>
  <c r="N37" i="19"/>
  <c r="N47" i="19"/>
  <c r="Z27" i="19"/>
  <c r="AL7" i="19"/>
  <c r="AL17" i="19"/>
  <c r="AF17" i="19"/>
  <c r="AL27" i="19"/>
  <c r="N27" i="19"/>
  <c r="N7" i="19"/>
  <c r="Z7" i="19"/>
  <c r="T47" i="19"/>
  <c r="O20" i="19"/>
  <c r="AM40" i="19"/>
  <c r="O30" i="19"/>
  <c r="AM50" i="19"/>
  <c r="AA50" i="19"/>
  <c r="AM30" i="19"/>
  <c r="AM10" i="19"/>
  <c r="AM20" i="19"/>
  <c r="O50" i="19"/>
  <c r="U30" i="19"/>
  <c r="AA10" i="19"/>
  <c r="U40" i="19"/>
  <c r="O40" i="19"/>
  <c r="U20" i="19"/>
  <c r="AG40" i="19"/>
  <c r="AG50" i="19"/>
  <c r="U50" i="19"/>
  <c r="AA30" i="19"/>
  <c r="AG10" i="19"/>
  <c r="AA40" i="19"/>
  <c r="AG20" i="19"/>
  <c r="AA20" i="19"/>
  <c r="U10" i="19"/>
  <c r="AG30" i="19"/>
  <c r="O10" i="19"/>
  <c r="AG37" i="19"/>
  <c r="AG47" i="19"/>
  <c r="U7" i="19"/>
  <c r="AM47" i="19"/>
  <c r="U27" i="19"/>
  <c r="O37" i="19"/>
  <c r="O17" i="19"/>
  <c r="AA7" i="19"/>
  <c r="AA47" i="19"/>
  <c r="O27" i="19"/>
  <c r="U37" i="19"/>
  <c r="AM17" i="19"/>
  <c r="AM37" i="19"/>
  <c r="AG27" i="19"/>
  <c r="AM7" i="19"/>
  <c r="AG7" i="19"/>
  <c r="AA17" i="19"/>
  <c r="O7" i="19"/>
  <c r="AA37" i="19"/>
  <c r="AA27" i="19"/>
  <c r="AM27" i="19"/>
  <c r="U17" i="19"/>
  <c r="U47" i="19"/>
  <c r="AG17" i="19"/>
  <c r="O47" i="19"/>
  <c r="Z40" i="19"/>
  <c r="T10" i="19"/>
  <c r="AF10" i="19"/>
  <c r="T20" i="19"/>
  <c r="N30" i="19"/>
  <c r="Z20" i="19"/>
  <c r="AF50" i="19"/>
  <c r="T50" i="19"/>
  <c r="AL30" i="19"/>
  <c r="T40" i="19"/>
  <c r="AF40" i="19"/>
  <c r="AF30" i="19"/>
  <c r="N50" i="19"/>
  <c r="AL40" i="19"/>
  <c r="AL20" i="19"/>
  <c r="Z10" i="19"/>
  <c r="AF20" i="19"/>
  <c r="N10" i="19"/>
  <c r="Z50" i="19"/>
  <c r="AL50" i="19"/>
  <c r="N40" i="19"/>
  <c r="T30" i="19"/>
  <c r="Z30" i="19"/>
  <c r="AL10" i="19"/>
  <c r="N20" i="19"/>
  <c r="X6" i="18" l="1"/>
  <c r="AJ30" i="18"/>
  <c r="R22" i="18"/>
  <c r="L6" i="18"/>
  <c r="R30" i="18"/>
  <c r="X22" i="18"/>
  <c r="X38" i="18"/>
  <c r="AD38" i="18"/>
  <c r="AD22" i="18"/>
  <c r="X14" i="18"/>
  <c r="L30" i="18"/>
  <c r="R38" i="18"/>
  <c r="AJ14" i="18"/>
  <c r="R14" i="18"/>
  <c r="AD6" i="18"/>
  <c r="AD30" i="18"/>
  <c r="AJ38" i="18"/>
  <c r="AJ22" i="18"/>
  <c r="X30" i="18"/>
  <c r="L14" i="18"/>
  <c r="L22" i="18"/>
  <c r="AJ6" i="18"/>
  <c r="L38" i="18"/>
  <c r="AD14" i="18"/>
  <c r="R6" i="18"/>
  <c r="L16" i="18"/>
  <c r="R24" i="18"/>
  <c r="L8" i="18"/>
  <c r="R32" i="18"/>
  <c r="AJ16" i="18"/>
  <c r="R8" i="18"/>
  <c r="AD24" i="18"/>
  <c r="AJ32" i="18"/>
  <c r="AD8" i="18"/>
  <c r="X40" i="18"/>
  <c r="L32" i="18"/>
  <c r="X8" i="18"/>
  <c r="X24" i="18"/>
  <c r="AJ8" i="18"/>
  <c r="R40" i="18"/>
  <c r="L40" i="18"/>
  <c r="X16" i="18"/>
  <c r="L24" i="18"/>
  <c r="AJ24" i="18"/>
  <c r="X32" i="18"/>
  <c r="AJ40" i="18"/>
  <c r="R16" i="18"/>
  <c r="AD40" i="18"/>
  <c r="AD32" i="18"/>
  <c r="AD16" i="18"/>
  <c r="J42" i="18"/>
  <c r="P34" i="18"/>
  <c r="AB18" i="18"/>
  <c r="AB42" i="18"/>
  <c r="AH34" i="18"/>
  <c r="P10" i="18"/>
  <c r="V34" i="18"/>
  <c r="P42" i="18"/>
  <c r="V42" i="18"/>
  <c r="AH42" i="18"/>
  <c r="AB26" i="18"/>
  <c r="AH26" i="18"/>
  <c r="V26" i="18"/>
  <c r="AB34" i="18"/>
  <c r="V10" i="18"/>
  <c r="AH18" i="18"/>
  <c r="J34" i="18"/>
  <c r="J10" i="18"/>
  <c r="AB10" i="18"/>
  <c r="J18" i="18"/>
  <c r="P26" i="18"/>
  <c r="J26" i="18"/>
  <c r="AH10" i="18"/>
  <c r="P18" i="18"/>
  <c r="V18" i="18"/>
  <c r="X42" i="18"/>
  <c r="AD34" i="18"/>
  <c r="AD10" i="18"/>
  <c r="AD26" i="18"/>
  <c r="L10" i="18"/>
  <c r="L42" i="18"/>
  <c r="L26" i="18"/>
  <c r="X18" i="18"/>
  <c r="X34" i="18"/>
  <c r="X10" i="18"/>
  <c r="R18" i="18"/>
  <c r="AJ10" i="18"/>
  <c r="AD42" i="18"/>
  <c r="AJ34" i="18"/>
  <c r="R26" i="18"/>
  <c r="L18" i="18"/>
  <c r="AJ26" i="18"/>
  <c r="AD18" i="18"/>
  <c r="R34" i="18"/>
  <c r="L34" i="18"/>
  <c r="AJ42" i="18"/>
  <c r="R10" i="18"/>
  <c r="R42" i="18"/>
  <c r="X26" i="18"/>
  <c r="AJ18" i="18"/>
  <c r="T14" i="18"/>
  <c r="AL38" i="18"/>
  <c r="N14" i="18"/>
  <c r="Z6" i="18"/>
  <c r="T38" i="18"/>
  <c r="T22" i="18"/>
  <c r="AL14" i="18"/>
  <c r="N22" i="18"/>
  <c r="AF22" i="18"/>
  <c r="N6" i="18"/>
  <c r="AF6" i="18"/>
  <c r="AF38" i="18"/>
  <c r="N38" i="18"/>
  <c r="AL30" i="18"/>
  <c r="AL22" i="18"/>
  <c r="T6" i="18"/>
  <c r="AF14" i="18"/>
  <c r="AF30" i="18"/>
  <c r="Z22" i="18"/>
  <c r="T30" i="18"/>
  <c r="Z30" i="18"/>
  <c r="AL6" i="18"/>
  <c r="Z14" i="18"/>
  <c r="Z38" i="18"/>
  <c r="N30" i="18"/>
  <c r="J40" i="18"/>
  <c r="AB40" i="18"/>
  <c r="AH32" i="18"/>
  <c r="AB24" i="18"/>
  <c r="V16" i="18"/>
  <c r="J16" i="18"/>
  <c r="P32" i="18"/>
  <c r="V24" i="18"/>
  <c r="P24" i="18"/>
  <c r="V40" i="18"/>
  <c r="P16" i="18"/>
  <c r="P40" i="18"/>
  <c r="V32" i="18"/>
  <c r="AH16" i="18"/>
  <c r="AB16" i="18"/>
  <c r="V8" i="18"/>
  <c r="AH24" i="18"/>
  <c r="AH8" i="18"/>
  <c r="AH40" i="18"/>
  <c r="J8" i="18"/>
  <c r="AB32" i="18"/>
  <c r="AB8" i="18"/>
  <c r="J24" i="18"/>
  <c r="J32" i="18"/>
  <c r="P8" i="18"/>
  <c r="Z42" i="18"/>
  <c r="T18" i="18"/>
  <c r="AF34" i="18"/>
  <c r="AF42" i="18"/>
  <c r="N42" i="18"/>
  <c r="Z18" i="18"/>
  <c r="AL10" i="18"/>
  <c r="AL26" i="18"/>
  <c r="AF26" i="18"/>
  <c r="Z10" i="18"/>
  <c r="N18" i="18"/>
  <c r="T26" i="18"/>
  <c r="AF10" i="18"/>
  <c r="T34" i="18"/>
  <c r="N26" i="18"/>
  <c r="AL18" i="18"/>
  <c r="N10" i="18"/>
  <c r="AF18" i="18"/>
  <c r="Z26" i="18"/>
  <c r="AL34" i="18"/>
  <c r="Z34" i="18"/>
  <c r="T10" i="18"/>
  <c r="AL42" i="18"/>
  <c r="N34" i="18"/>
  <c r="T42" i="18"/>
  <c r="P14" i="18"/>
  <c r="V22" i="18"/>
  <c r="V14" i="18"/>
  <c r="P22" i="18"/>
  <c r="V38" i="18"/>
  <c r="AH14" i="18"/>
  <c r="AH38" i="18"/>
  <c r="J14" i="18"/>
  <c r="AB22" i="18"/>
  <c r="V30" i="18"/>
  <c r="AB14" i="18"/>
  <c r="AB38" i="18"/>
  <c r="J30" i="18"/>
  <c r="P38" i="18"/>
  <c r="AB6" i="18"/>
  <c r="N20" i="1"/>
  <c r="AC20" i="1" s="1"/>
  <c r="AC22" i="1" s="1"/>
  <c r="AB22" i="1" s="1"/>
  <c r="AD22" i="1" s="1"/>
  <c r="AH30" i="18"/>
  <c r="J38" i="18"/>
  <c r="AH6" i="18"/>
  <c r="V6" i="18"/>
  <c r="AB30" i="18"/>
  <c r="J22" i="18"/>
  <c r="J6" i="18"/>
  <c r="P30" i="18"/>
  <c r="AH22" i="18"/>
  <c r="P6" i="18"/>
  <c r="AH12" i="18"/>
  <c r="J20" i="18"/>
  <c r="J44" i="18"/>
  <c r="AB28" i="18"/>
  <c r="P28" i="18"/>
  <c r="P12" i="18"/>
  <c r="AH20" i="18"/>
  <c r="P44" i="18"/>
  <c r="AB12" i="18"/>
  <c r="P20" i="18"/>
  <c r="J36" i="18"/>
  <c r="P36" i="18"/>
  <c r="AB44" i="18"/>
  <c r="V44" i="18"/>
  <c r="J28" i="18"/>
  <c r="AH36" i="18"/>
  <c r="V12" i="18"/>
  <c r="V28" i="18"/>
  <c r="AH44" i="18"/>
  <c r="AB20" i="18"/>
  <c r="AB36" i="18"/>
  <c r="AH28" i="18"/>
  <c r="V36" i="18"/>
  <c r="V20" i="18"/>
  <c r="J12" i="18"/>
  <c r="AF24" i="18"/>
  <c r="AF32" i="18"/>
  <c r="T40" i="18"/>
  <c r="Z40" i="18"/>
  <c r="AL8" i="18"/>
  <c r="AF8" i="18"/>
  <c r="T8" i="18"/>
  <c r="Z16" i="18"/>
  <c r="T24" i="18"/>
  <c r="AL24" i="18"/>
  <c r="Z32" i="18"/>
  <c r="N32" i="18"/>
  <c r="N16" i="18"/>
  <c r="Z8" i="18"/>
  <c r="AL40" i="18"/>
  <c r="N8" i="18"/>
  <c r="N24" i="18"/>
  <c r="T32" i="18"/>
  <c r="T16" i="18"/>
  <c r="AF40" i="18"/>
  <c r="AF16" i="18"/>
  <c r="AL32" i="18"/>
  <c r="N40" i="18"/>
  <c r="Z24" i="18"/>
  <c r="AL16" i="18"/>
  <c r="AB20" i="1" l="1"/>
  <c r="AD20" i="1" s="1"/>
  <c r="AC21" i="1"/>
  <c r="V25" i="19"/>
  <c r="V45" i="19"/>
  <c r="J15" i="19"/>
  <c r="AB45" i="19"/>
  <c r="AH25" i="19"/>
  <c r="AH55" i="19"/>
  <c r="AB15" i="19"/>
  <c r="P15" i="19"/>
  <c r="P45" i="19"/>
  <c r="V15" i="19"/>
  <c r="J35" i="19"/>
  <c r="AH45" i="19"/>
  <c r="J25" i="19"/>
  <c r="AB35" i="19"/>
  <c r="AH15" i="19"/>
  <c r="V35" i="19"/>
  <c r="J55" i="19"/>
  <c r="AB55" i="19"/>
  <c r="AB25" i="19"/>
  <c r="AH35" i="19"/>
  <c r="P55" i="19"/>
  <c r="J45" i="19"/>
  <c r="P25" i="19"/>
  <c r="P35" i="19"/>
  <c r="V55" i="19"/>
  <c r="P26" i="19" l="1"/>
  <c r="P36" i="19"/>
  <c r="AB6" i="19"/>
  <c r="AB36" i="19"/>
  <c r="V46" i="19"/>
  <c r="J26" i="19"/>
  <c r="V16" i="19"/>
  <c r="P46" i="19"/>
  <c r="J36" i="19"/>
  <c r="J6" i="19"/>
  <c r="AH36" i="19"/>
  <c r="AH46" i="19"/>
  <c r="V6" i="19"/>
  <c r="AH6" i="19"/>
  <c r="AH16" i="19"/>
  <c r="AB16" i="19"/>
  <c r="P6" i="19"/>
  <c r="AB46" i="19"/>
  <c r="V26" i="19"/>
  <c r="J16" i="19"/>
  <c r="AH26" i="19"/>
  <c r="J46" i="19"/>
  <c r="V36" i="19"/>
  <c r="AB26" i="19"/>
  <c r="P16" i="19"/>
  <c r="AB21" i="1"/>
  <c r="R36" i="19" l="1"/>
  <c r="AD16" i="19"/>
  <c r="R16" i="19"/>
  <c r="X36" i="19"/>
  <c r="X46" i="19"/>
  <c r="AJ16" i="19"/>
  <c r="L36" i="19"/>
  <c r="AJ6" i="19"/>
  <c r="X16" i="19"/>
  <c r="AD36" i="19"/>
  <c r="R26" i="19"/>
  <c r="AJ26" i="19"/>
  <c r="R46" i="19"/>
  <c r="AD6" i="19"/>
  <c r="AD26" i="19"/>
  <c r="X6" i="19"/>
  <c r="L16" i="19"/>
  <c r="AJ46" i="19"/>
  <c r="AD46" i="19"/>
  <c r="R6" i="19"/>
  <c r="X26" i="19"/>
  <c r="L46" i="19"/>
  <c r="L6" i="19"/>
  <c r="L26" i="19"/>
  <c r="AJ36" i="19"/>
  <c r="AD21" i="1"/>
  <c r="AI6" i="19"/>
  <c r="AI16" i="19"/>
  <c r="Q36" i="19"/>
  <c r="W6" i="19"/>
  <c r="AC46" i="19"/>
  <c r="W26" i="19"/>
  <c r="K26" i="19"/>
  <c r="W46" i="19"/>
  <c r="K16" i="19"/>
  <c r="AI46" i="19"/>
  <c r="Q46" i="19"/>
  <c r="AI36" i="19"/>
  <c r="AI26" i="19"/>
  <c r="AC6" i="19"/>
  <c r="AC36" i="19"/>
  <c r="K46" i="19"/>
  <c r="AC26" i="19"/>
  <c r="W16" i="19"/>
  <c r="Q26" i="19"/>
  <c r="Q6" i="19"/>
  <c r="Q16" i="19"/>
  <c r="W36" i="19"/>
  <c r="AC16" i="19"/>
  <c r="K36" i="19"/>
  <c r="K6" i="1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<sst xmlns="http://schemas.openxmlformats.org/spreadsheetml/2006/main" count="2534" uniqueCount="775">
  <si>
    <t xml:space="preserve">Versión: 02 </t>
  </si>
  <si>
    <t xml:space="preserve">Código: </t>
  </si>
  <si>
    <t>Proceso Gestión de Cumplimiento
 Formato Identificación de Riesgos de Corrupción</t>
  </si>
  <si>
    <t>INSTRUCCIONES PARA EL DILIGENCIAMIENTO DEL FORMATO</t>
  </si>
  <si>
    <t>NO IMPRIMIR</t>
  </si>
  <si>
    <t xml:space="preserve">1. Generalidades </t>
  </si>
  <si>
    <t>Con el objetivo de dar respuesta al requisito 6.1 de la estructura de alto nivel de las normas ISO 9001, ISO 14001, ISO 39001 e ISO 45001, Familia ISO 27000, documentos y las políticas del Modelo Integrado de Planeación y Gestión - MIPG en lo relacionado con la identificación, gestión y tratamiento de los riesgos, la organización ha establecido la presente metodología para realizar el proceso de gestión de riesgos de la SAE.</t>
  </si>
  <si>
    <r>
      <t xml:space="preserve">El archivo contiene las siguientes hojas:
-   </t>
    </r>
    <r>
      <rPr>
        <b/>
        <sz val="11"/>
        <rFont val="Arial"/>
        <family val="2"/>
      </rPr>
      <t>Hoja 1 Instructivo</t>
    </r>
    <r>
      <rPr>
        <sz val="10"/>
        <rFont val="Arial"/>
        <family val="2"/>
      </rPr>
      <t xml:space="preserve">
 -  </t>
    </r>
    <r>
      <rPr>
        <b/>
        <sz val="11"/>
        <rFont val="Arial"/>
        <family val="2"/>
      </rPr>
      <t xml:space="preserve">Hoja 2 Mapa Final: </t>
    </r>
    <r>
      <rPr>
        <sz val="10"/>
        <rFont val="Arial"/>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</si>
  <si>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</si>
  <si>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</si>
  <si>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Código Riesgo</t>
  </si>
  <si>
    <t xml:space="preserve">Permite definir un consecutivo de riesgos.
Esta información la debe administrar la oficina de integridad, anticorrupción y cumplimiento. Cuando un riesgo salga del mapa no existirá otro riesgo con el mismo número. </t>
  </si>
  <si>
    <t>Proceso</t>
  </si>
  <si>
    <t>Seleccione de la lista desplegable el nombre del proceso al cual se le identificarán y valorarán los riesgos de corrupción.</t>
  </si>
  <si>
    <t>Descripción del Riesgo</t>
  </si>
  <si>
    <r>
      <t xml:space="preserve">La descripción del riesgo de corrupción debe contener todos los detalles que sean necesarios y que sea fácil de entender tanto para el líder del proceso como para personas ajenas al proceso. 
Tenga en cuenta la estructura de alto nivel establecida en la guía:
</t>
    </r>
    <r>
      <rPr>
        <b/>
        <sz val="9"/>
        <color rgb="FF6E1978"/>
        <rFont val="Arial"/>
        <family val="2"/>
      </rPr>
      <t xml:space="preserve"> ACCIÓN U OMISIÓN + USO DEL PODER + DESVIACIÓN DE LA GESTIÓN DE LO PÚBLICO + EL BENEFICIO PRIVADO.</t>
    </r>
  </si>
  <si>
    <t>Causa</t>
  </si>
  <si>
    <t>Causa  principal  o básica, corresponde a las razones por la cuales se puede presentar  el riesgo de corrupción, redacte de la forma más concreta posible.</t>
  </si>
  <si>
    <t>Efecto</t>
  </si>
  <si>
    <t>Que puede llegar a ocasionar el riesgo de corrupción</t>
  </si>
  <si>
    <t>Criterios de probabilidad</t>
  </si>
  <si>
    <r>
      <t xml:space="preserve">Utilice la lista de despliegue que se encuentra parametrizada, le aparecerán las opciones de la hoja </t>
    </r>
    <r>
      <rPr>
        <b/>
        <sz val="9"/>
        <rFont val="Arial"/>
        <family val="2"/>
      </rPr>
      <t>"Tabla Probabilidad"</t>
    </r>
    <r>
      <rPr>
        <sz val="9"/>
        <rFont val="Arial"/>
        <family val="2"/>
      </rPr>
      <t xml:space="preserve"> del presente documento. La matriz automáticamente hará el cálculo para el nivel de impacto inherente (Columnas M-N)</t>
    </r>
  </si>
  <si>
    <t>Criterios de Impacto</t>
  </si>
  <si>
    <r>
      <t xml:space="preserve">Utilice la lista de despliegue que se encuentra parametrizada, le aparecerán las opciones de la hoja </t>
    </r>
    <r>
      <rPr>
        <b/>
        <sz val="9"/>
        <rFont val="Arial"/>
        <family val="2"/>
      </rPr>
      <t>"Tabla Impacto"</t>
    </r>
    <r>
      <rPr>
        <sz val="9"/>
        <rFont val="Arial"/>
        <family val="2"/>
      </rPr>
      <t xml:space="preserve"> del presente documento. La matriz automáticamente hará el cálculo para el nivel de impacto inherente (Columnas H-I)</t>
    </r>
  </si>
  <si>
    <t>Zona de Riesgo Inherente</t>
  </si>
  <si>
    <t>Teniendo en cuenta que ingresó la información de PROBABILIDAD e IMPACTO, la matriz automáticamente hará el cálculo para la zona de riesgo inherente (Columna N)</t>
  </si>
  <si>
    <t>No. Control</t>
  </si>
  <si>
    <t xml:space="preserve">Permite definir un consecutivo de controles
Esta información la debe administrar la oficina de planeación. </t>
  </si>
  <si>
    <t>Descripción del Control</t>
  </si>
  <si>
    <r>
      <t xml:space="preserve">Para una adecuada redacción del control se propone una estructura que facilitará más adelante entender su tipología y otros atributos para su valoración: 
</t>
    </r>
    <r>
      <rPr>
        <b/>
        <sz val="9"/>
        <color rgb="FF4F5321"/>
        <rFont val="Arial"/>
        <family val="2"/>
      </rPr>
      <t xml:space="preserve">  </t>
    </r>
    <r>
      <rPr>
        <b/>
        <sz val="9"/>
        <color rgb="FF6E1978"/>
        <rFont val="Arial"/>
        <family val="2"/>
      </rPr>
      <t xml:space="preserve"> Responsable de ejecutar el control  </t>
    </r>
    <r>
      <rPr>
        <b/>
        <sz val="9"/>
        <color rgb="FF4F5321"/>
        <rFont val="Arial"/>
        <family val="2"/>
      </rPr>
      <t xml:space="preserve">        </t>
    </r>
    <r>
      <rPr>
        <b/>
        <sz val="9"/>
        <color rgb="FF6E1978"/>
        <rFont val="Arial"/>
        <family val="2"/>
      </rPr>
      <t xml:space="preserve">+ Acción  </t>
    </r>
    <r>
      <rPr>
        <b/>
        <sz val="9"/>
        <color rgb="FF4F5321"/>
        <rFont val="Arial"/>
        <family val="2"/>
      </rPr>
      <t xml:space="preserve">         </t>
    </r>
    <r>
      <rPr>
        <b/>
        <sz val="9"/>
        <color rgb="FF6E1978"/>
        <rFont val="Arial"/>
        <family val="2"/>
      </rPr>
      <t xml:space="preserve">  + Complemento
</t>
    </r>
    <r>
      <rPr>
        <b/>
        <sz val="9"/>
        <color rgb="FF4F5321"/>
        <rFont val="Arial"/>
        <family val="2"/>
      </rPr>
      <t xml:space="preserve">
</t>
    </r>
    <r>
      <rPr>
        <sz val="9"/>
        <rFont val="Arial"/>
        <family val="2"/>
      </rPr>
      <t xml:space="preserve">
Recuerde que el control se define como la medida que permite reducir o mitigar un riesgo. Defina el (los) control (es) que atacan la causa raíz del riesgo.</t>
    </r>
  </si>
  <si>
    <t>Afectación</t>
  </si>
  <si>
    <t>Esta casilla no se diligencia, depende de la selección en la columna S. (probabilidad o impacto)</t>
  </si>
  <si>
    <r>
      <t xml:space="preserve">ATRIBUTOS EFICIENCIA
</t>
    </r>
    <r>
      <rPr>
        <sz val="9"/>
        <rFont val="Arial"/>
        <family val="2"/>
      </rPr>
      <t>Tipo</t>
    </r>
  </si>
  <si>
    <r>
      <t xml:space="preserve">Seleccione de la lista de despliegue entre las opciones: 
</t>
    </r>
    <r>
      <rPr>
        <b/>
        <sz val="9"/>
        <rFont val="Arial"/>
        <family val="2"/>
      </rPr>
      <t>i)Preventivo:</t>
    </r>
    <r>
      <rPr>
        <sz val="9"/>
        <rFont val="Arial"/>
        <family val="2"/>
      </rPr>
      <t xml:space="preserve"> control accionado en la entrada del proceso y antes de que se realice la actividad originadora del riesgo, se busca 
establecer las condiciones que aseguren el resultado final esperado. Va a las causas del riesgo. Atacan la probabilidad de ocurrencia del riesgo. 
</t>
    </r>
    <r>
      <rPr>
        <b/>
        <sz val="9"/>
        <rFont val="Arial"/>
        <family val="2"/>
      </rPr>
      <t xml:space="preserve">ii)Detectivo: </t>
    </r>
    <r>
      <rPr>
        <sz val="9"/>
        <rFont val="Arial"/>
        <family val="2"/>
      </rPr>
      <t>control accionado durante la ejecución del proceso. Estos controles detectan el riesgo, pero generan reprocesos Detecta que algo ocurre y devuelve el proceso a los controles preventivos. Atacan la probabilidad de ocurrencia del riesgo.</t>
    </r>
  </si>
  <si>
    <r>
      <t xml:space="preserve">ATRIBUTOS EFICIENCIA
</t>
    </r>
    <r>
      <rPr>
        <sz val="9"/>
        <rFont val="Arial"/>
        <family val="2"/>
      </rPr>
      <t>Implementación</t>
    </r>
  </si>
  <si>
    <r>
      <t xml:space="preserve">Seleccione de la lista de despliegue entre las opciones: 
</t>
    </r>
    <r>
      <rPr>
        <b/>
        <sz val="9"/>
        <rFont val="Arial"/>
        <family val="2"/>
      </rPr>
      <t xml:space="preserve">i)Automático: </t>
    </r>
    <r>
      <rPr>
        <sz val="9"/>
        <rFont val="Arial"/>
        <family val="2"/>
      </rPr>
      <t xml:space="preserve">son ejecutados por un sistema. 
</t>
    </r>
    <r>
      <rPr>
        <b/>
        <sz val="9"/>
        <rFont val="Arial"/>
        <family val="2"/>
      </rPr>
      <t xml:space="preserve">ii)Manual: </t>
    </r>
    <r>
      <rPr>
        <sz val="9"/>
        <rFont val="Arial"/>
        <family val="2"/>
      </rPr>
      <t>controles que son ejecutados por personas.</t>
    </r>
  </si>
  <si>
    <r>
      <t xml:space="preserve">ATRIBUTOS EFICIENCIA
</t>
    </r>
    <r>
      <rPr>
        <sz val="9"/>
        <rFont val="Arial"/>
        <family val="2"/>
      </rPr>
      <t>Calificación</t>
    </r>
  </si>
  <si>
    <t>La matriz automáticamente hará el cálculo para el control analizado (Columna U) Formular</t>
  </si>
  <si>
    <r>
      <t xml:space="preserve">ATRIBUTOS INFORMATIVOS
</t>
    </r>
    <r>
      <rPr>
        <sz val="9"/>
        <rFont val="Arial"/>
        <family val="2"/>
      </rPr>
      <t>Documentación</t>
    </r>
  </si>
  <si>
    <r>
      <t xml:space="preserve">Seleccione de la lista de despliegue entre las opciones: 
</t>
    </r>
    <r>
      <rPr>
        <b/>
        <sz val="9"/>
        <rFont val="Arial"/>
        <family val="2"/>
      </rPr>
      <t>i)Documentado:</t>
    </r>
    <r>
      <rPr>
        <sz val="9"/>
        <rFont val="Arial"/>
        <family val="2"/>
      </rPr>
      <t xml:space="preserve"> Controles que están documentados en el proceso, ya sea en manuales, procedimientos, flujogramas o 
cualquier otro documento propio del proceso. 
</t>
    </r>
    <r>
      <rPr>
        <b/>
        <sz val="9"/>
        <rFont val="Arial"/>
        <family val="2"/>
      </rPr>
      <t>ii)Sin documentar:</t>
    </r>
    <r>
      <rPr>
        <sz val="9"/>
        <rFont val="Arial"/>
        <family val="2"/>
      </rPr>
      <t xml:space="preserve"> Identifica a los controles que pese a que se ejecutan en el proceso no se encuentran documentados en ningún 
documento propio del proceso .</t>
    </r>
  </si>
  <si>
    <r>
      <t xml:space="preserve">ATRIBUTOS INFORMATIVOS
</t>
    </r>
    <r>
      <rPr>
        <sz val="9"/>
        <rFont val="Arial"/>
        <family val="2"/>
      </rPr>
      <t>Frecuencia</t>
    </r>
  </si>
  <si>
    <r>
      <t xml:space="preserve">Seleccione de la lista de despliegue entre las opciones:  
</t>
    </r>
    <r>
      <rPr>
        <b/>
        <sz val="9"/>
        <rFont val="Arial"/>
        <family val="2"/>
      </rPr>
      <t xml:space="preserve">i)Continua: </t>
    </r>
    <r>
      <rPr>
        <sz val="9"/>
        <rFont val="Arial"/>
        <family val="2"/>
      </rPr>
      <t xml:space="preserve">El control se aplica siempre que se realiza la actividad que conlleva el riesgo. 
</t>
    </r>
    <r>
      <rPr>
        <b/>
        <sz val="9"/>
        <rFont val="Arial"/>
        <family val="2"/>
      </rPr>
      <t xml:space="preserve">ii)Aleatoria: </t>
    </r>
    <r>
      <rPr>
        <sz val="9"/>
        <rFont val="Arial"/>
        <family val="2"/>
      </rPr>
      <t>El control se aplica aleatoriamente a la actividad que conlleva el riesgo</t>
    </r>
  </si>
  <si>
    <r>
      <t xml:space="preserve">ATRIBUTOS INFORMATIVOS
</t>
    </r>
    <r>
      <rPr>
        <sz val="9"/>
        <rFont val="Arial"/>
        <family val="2"/>
      </rPr>
      <t>Registro</t>
    </r>
  </si>
  <si>
    <r>
      <t xml:space="preserve">Seleccione de la lista de despliegue entre las opciones:  
</t>
    </r>
    <r>
      <rPr>
        <b/>
        <sz val="9"/>
        <rFont val="Arial"/>
        <family val="2"/>
      </rPr>
      <t xml:space="preserve">i)Con Registro: </t>
    </r>
    <r>
      <rPr>
        <sz val="9"/>
        <rFont val="Arial"/>
        <family val="2"/>
      </rPr>
      <t xml:space="preserve">El control deja un registro permite evidencia la ejecución del control.
</t>
    </r>
    <r>
      <rPr>
        <b/>
        <sz val="9"/>
        <rFont val="Arial"/>
        <family val="2"/>
      </rPr>
      <t>ii) Sin Registro:</t>
    </r>
    <r>
      <rPr>
        <sz val="9"/>
        <rFont val="Arial"/>
        <family val="2"/>
      </rPr>
      <t xml:space="preserve">  El control no deja registro de la ejecución del control.</t>
    </r>
  </si>
  <si>
    <t>Evaluación del Nivel de Riesgo - Nivel de Riesgo Residual</t>
  </si>
  <si>
    <r>
      <t>La matriz automáticamente hará el cálculo, acorde con el control o controles definidos con sus atributos analizados, lo que permitirá establecer el</t>
    </r>
    <r>
      <rPr>
        <b/>
        <sz val="9"/>
        <color theme="9" tint="-0.249977111117893"/>
        <rFont val="Arial"/>
        <family val="2"/>
      </rPr>
      <t xml:space="preserve"> </t>
    </r>
    <r>
      <rPr>
        <b/>
        <sz val="9"/>
        <color rgb="FF4F5321"/>
        <rFont val="Arial"/>
        <family val="2"/>
      </rPr>
      <t>nivel de riesgo inherente</t>
    </r>
    <r>
      <rPr>
        <sz val="9"/>
        <rFont val="Arial"/>
        <family val="2"/>
      </rPr>
      <t xml:space="preserve"> (Columnas X- Y- Z- AA -AB- AC).</t>
    </r>
  </si>
  <si>
    <t>Tratamiento</t>
  </si>
  <si>
    <r>
      <t xml:space="preserve">Seleccione de la lista de despliegue entre las opciones:   
</t>
    </r>
    <r>
      <rPr>
        <b/>
        <sz val="9"/>
        <rFont val="Arial"/>
        <family val="2"/>
      </rPr>
      <t>i)Evitar:</t>
    </r>
    <r>
      <rPr>
        <sz val="9"/>
        <rFont val="Arial"/>
        <family val="2"/>
      </rPr>
      <t xml:space="preserve"> Después de realizar un análisis y considerar que el nivel del riesgo es demasiado alto, se determina NO asumir la actividad que genera este riesgo.
</t>
    </r>
    <r>
      <rPr>
        <b/>
        <sz val="9"/>
        <rFont val="Arial"/>
        <family val="2"/>
      </rPr>
      <t>ii)Reducir (compartir):</t>
    </r>
    <r>
      <rPr>
        <sz val="9"/>
        <rFont val="Arial"/>
        <family val="2"/>
      </rPr>
      <t xml:space="preserve"> Después de realizar un análisis y considerar que el nivel de riesgos es alto, se determina tratarlo mediante transferencia o mitigación del mismo.  
</t>
    </r>
    <r>
      <rPr>
        <b/>
        <sz val="9"/>
        <rFont val="Arial"/>
        <family val="2"/>
      </rPr>
      <t>iii)Reducir (mitigar):</t>
    </r>
    <r>
      <rPr>
        <sz val="9"/>
        <rFont val="Arial"/>
        <family val="2"/>
      </rPr>
      <t xml:space="preserve"> Después de realizar un análisis y considerar los niveles de riesgo se implementan acciones que mitiguen el nivel de riesgo. No necesariamente es un control adicional.</t>
    </r>
  </si>
  <si>
    <r>
      <t xml:space="preserve">Tratamiento (Plan de Acción)
</t>
    </r>
    <r>
      <rPr>
        <sz val="9"/>
        <rFont val="Arial"/>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</si>
  <si>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</si>
  <si>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Tratamiento (Plan de acción)</t>
  </si>
  <si>
    <t>Responsable</t>
  </si>
  <si>
    <t>Fecha de implementación</t>
  </si>
  <si>
    <t>Fecha de seguimiento</t>
  </si>
  <si>
    <t>Seguimiento</t>
  </si>
  <si>
    <t>Estado</t>
  </si>
  <si>
    <t>Defina la actividad a realizar para dar tratamiento al riesgo</t>
  </si>
  <si>
    <t>Defina el responsable de realizar la actividad</t>
  </si>
  <si>
    <t>Defina la fecha de implementación de la actividad definida en el plan de acción</t>
  </si>
  <si>
    <t>Defina la fecha en la que se va a realizar el seguimiento a la implementación de la actividad</t>
  </si>
  <si>
    <t>Realice el análisis cualitativa del seguimiento de la actividad</t>
  </si>
  <si>
    <t>Utilice la lista de despliegue que se encuentra parametrizada, le aparecerán las opciones: i)Finalizado, ii)En curso, la selección en este caso dependerá de las acciones del plan que se hayan establecido en cada caso.</t>
  </si>
  <si>
    <t>Fecha de identificación</t>
  </si>
  <si>
    <t>Fecha próxima revisión</t>
  </si>
  <si>
    <t>Fecha de Monitoreo</t>
  </si>
  <si>
    <t>Análisis</t>
  </si>
  <si>
    <t>Valoración</t>
  </si>
  <si>
    <t>Fecha próximo monitoreo</t>
  </si>
  <si>
    <t>Relacione la fecha en la que se identificó el riesgo</t>
  </si>
  <si>
    <t>Relacione la fecha en la que se debe revisar nuevamente el riesgo (la recomendación es que se realice al año de haberse identificado)</t>
  </si>
  <si>
    <t>Relacione el estado del riesgo (Activo, Monitoreado, Materializado)</t>
  </si>
  <si>
    <t>Relacione la fecha en la que se realizó el monitoreo del riesgo</t>
  </si>
  <si>
    <t>Este campo está formulado</t>
  </si>
  <si>
    <t>Relacione la fecha en la que se debe realizar el próximo monitoreo de acuerdo a la calificación del riesgo.</t>
  </si>
  <si>
    <r>
      <t xml:space="preserve"> -</t>
    </r>
    <r>
      <rPr>
        <sz val="11"/>
        <rFont val="Arial"/>
        <family val="2"/>
      </rPr>
      <t xml:space="preserve"> </t>
    </r>
    <r>
      <rPr>
        <b/>
        <sz val="11"/>
        <rFont val="Arial"/>
        <family val="2"/>
      </rPr>
      <t xml:space="preserve"> Hoja 3 Tabla de probabilidad: </t>
    </r>
    <r>
      <rPr>
        <sz val="11"/>
        <rFont val="Arial"/>
        <family val="2"/>
      </rPr>
      <t>Tabla referente para todos los cálculos (no se diligencia)</t>
    </r>
  </si>
  <si>
    <r>
      <t xml:space="preserve"> -</t>
    </r>
    <r>
      <rPr>
        <sz val="11"/>
        <rFont val="Arial"/>
        <family val="2"/>
      </rPr>
      <t xml:space="preserve"> </t>
    </r>
    <r>
      <rPr>
        <b/>
        <sz val="11"/>
        <rFont val="Arial"/>
        <family val="2"/>
      </rPr>
      <t xml:space="preserve"> Hoja 4 Tabla de Impacto: </t>
    </r>
    <r>
      <rPr>
        <sz val="11"/>
        <rFont val="Arial"/>
        <family val="2"/>
      </rPr>
      <t>Tabla referente para todos los cálculos (no se diligencia)</t>
    </r>
  </si>
  <si>
    <r>
      <t xml:space="preserve"> -</t>
    </r>
    <r>
      <rPr>
        <sz val="11"/>
        <rFont val="Arial"/>
        <family val="2"/>
      </rPr>
      <t xml:space="preserve"> </t>
    </r>
    <r>
      <rPr>
        <b/>
        <sz val="11"/>
        <rFont val="Arial"/>
        <family val="2"/>
      </rPr>
      <t xml:space="preserve"> Hoja 5 Tabla de Valoración de Controles: </t>
    </r>
    <r>
      <rPr>
        <sz val="11"/>
        <rFont val="Arial"/>
        <family val="2"/>
      </rPr>
      <t>Tabla referente para todos los cálculos (no se diligencia)</t>
    </r>
  </si>
  <si>
    <t>Identificación del riesgo</t>
  </si>
  <si>
    <t>Análisis del riesgo inherente</t>
  </si>
  <si>
    <t>Evaluación del riesgo - Valoración de los controles</t>
  </si>
  <si>
    <t>Evaluación del riesgo - Nivel del riesgo residual</t>
  </si>
  <si>
    <t>Tratamiento (Plan de Acción)</t>
  </si>
  <si>
    <t>Clase</t>
  </si>
  <si>
    <t xml:space="preserve">Causa </t>
  </si>
  <si>
    <t>Criterios  probabilidad</t>
  </si>
  <si>
    <t>Probabilidad Inherente</t>
  </si>
  <si>
    <t>%</t>
  </si>
  <si>
    <t>Criterios de impacto</t>
  </si>
  <si>
    <t>Observación de criterio</t>
  </si>
  <si>
    <t>Impacto 
Inherente</t>
  </si>
  <si>
    <t>Atributos</t>
  </si>
  <si>
    <t>Probabilidad Residual</t>
  </si>
  <si>
    <t>Probabilidad Residual Final</t>
  </si>
  <si>
    <t>Impacto Residual Final</t>
  </si>
  <si>
    <t>Zona de Riesgo Final</t>
  </si>
  <si>
    <t>Fecha Implementación</t>
  </si>
  <si>
    <t>Fecha Seguimiento</t>
  </si>
  <si>
    <t>Tipo</t>
  </si>
  <si>
    <t>Implementación</t>
  </si>
  <si>
    <t>Calificación</t>
  </si>
  <si>
    <t>Documentación</t>
  </si>
  <si>
    <t>Frecuencia</t>
  </si>
  <si>
    <t>Evidencia</t>
  </si>
  <si>
    <t>RC-CE-1</t>
  </si>
  <si>
    <t>Comunicación Estratégica y Atención a las Ciudadanías</t>
  </si>
  <si>
    <t>Posibilidad de conflicto de interés particular y directo que impacta la respuesta dada a las  peticiones, quejas, reclamos, sugerencias y denuncias que son atendidas por  la Entidad.</t>
  </si>
  <si>
    <t>Conflicto de Interés</t>
  </si>
  <si>
    <t>Las respuestas dadas a las PQRSD  se encuentran a cargo de un único profesional , lo cual impide que se ejecute control sobre las decisiones tomadas</t>
  </si>
  <si>
    <t>Falta de credibilidad en la gestión institucional.</t>
  </si>
  <si>
    <t>No se ha presentado en los últimos 5 años</t>
  </si>
  <si>
    <t>Responder afirmativamente de SEIS a ONCE</t>
  </si>
  <si>
    <t>El funcionario delegado del GIT de Atención y servicios a la ciudadanía cada vez que se recibe un PQRS, valida que la petición allegada a la Entidad, cuente con todos los soportes y anexos que describen en la petición. En el caso que el ciudadano no aporte los citados documentos, se deberá solicitar antes de radicar la petición la información faltante vía correo electrónico para poder brindar una respuesta oportuna. Sin evidencia.</t>
  </si>
  <si>
    <t>Preventivo</t>
  </si>
  <si>
    <t>Manual</t>
  </si>
  <si>
    <t>Sin Documentar</t>
  </si>
  <si>
    <t>Continua</t>
  </si>
  <si>
    <t>Sin Registro</t>
  </si>
  <si>
    <t xml:space="preserve">El funcionario delegado del GIT de Atención y servicios a la ciudadanía en caso de que se realice una asignación incorrecta, recibe nuevamente las solicitudes devueltas y se realiza la reasignación al área que corresponda. Sin evidencia ya que queda la trazabilidad en el aplicativo de atención a solicitudes. Procedimiento:  PR-CC-002_V05 </t>
  </si>
  <si>
    <t>Probabilidad</t>
  </si>
  <si>
    <t>Documentado</t>
  </si>
  <si>
    <t>Reducir (mitigar)</t>
  </si>
  <si>
    <t>Realizar una pieza grafica  informando el termino de vencimiento de las PQRS para realizar la correcta asignación de las áreas</t>
  </si>
  <si>
    <t>María Camila Prieto
Atención a la ciudadanía.</t>
  </si>
  <si>
    <t>En curso</t>
  </si>
  <si>
    <t>RC-DE-2</t>
  </si>
  <si>
    <t>Direccionamiento Estratégico</t>
  </si>
  <si>
    <t xml:space="preserve">Posibilidad de recibir o solicitar cualquier dadiva o beneficio a nombre propio o de terceros con el fin de que se den aprobaciones  en el comité de negocios, sin el cumplimiento de los requisitos exigidos por la entidad. 
</t>
  </si>
  <si>
    <t xml:space="preserve">	
Riesgo de Corrupción</t>
  </si>
  <si>
    <t xml:space="preserve"> Se den aprobaciones  en el comité de negocios</t>
  </si>
  <si>
    <t>Sin el cumplimiento de los requisitos exigidos por la entidad.</t>
  </si>
  <si>
    <t>Al menos 1 vez en los últimos 5 años</t>
  </si>
  <si>
    <t xml:space="preserve">Responder afirmativamente de DOCE a DIECINUEVE </t>
  </si>
  <si>
    <t>Los profesionales delegado por la Oficina de presidencia, cada vez que se realiza un comité de negocios, realizan la verificación de los requisitos de los casos presentados en el comité con el fin de garantizar el cumplimiento de los requisitos exigidos a los solicitantes, y dar aprobación o no por parte de la Presidencia. Como evidencia de la aplicación del control queda la base de los casos presentados.( Esta base está en cabeza del secretario técnico, que en este momento está a cargo del gerente de activos no sociales.)</t>
  </si>
  <si>
    <t>Detectivo</t>
  </si>
  <si>
    <t>Con Registro</t>
  </si>
  <si>
    <t>Los profesionales delegado por la Oficina de presidencia, en caso de evidenciar inconsistencias en la documentación presentada, solicitan a las dependencias que presentas}n los casos, realizar las correcciones pertinentes, con el fin de poder emitir una aprobación. Como evidencia de la aplicación del control queda la base se de los casos presentados.( Esta base está en cabeza del secretario técnico, que en este momento está a cargo del gerente de activos no sociales.)</t>
  </si>
  <si>
    <t>Impacto</t>
  </si>
  <si>
    <t>Correctivo</t>
  </si>
  <si>
    <t>RC-DE-3</t>
  </si>
  <si>
    <t xml:space="preserve">Posibilidad de no reportar la materialización de un riesgo de corrupción, fiscal o SARLAFT a las áreas competentes con el propósito de beneficiar a un tercero </t>
  </si>
  <si>
    <t xml:space="preserve">Falta de ética profesional
Falta de control del proceso 
</t>
  </si>
  <si>
    <t xml:space="preserve">Investigaciones penales o disciplinarias
Pérdida de imagen reputacional y credibilidad institucional
</t>
  </si>
  <si>
    <t xml:space="preserve">El  profesional delegado para gestionar el riesgo, de acuerdo con el nivel de severidad de este, realiza el monitoreo y revisión teniendo en cuenta la Política de Administración de Riesgos y la Guía de Administración de Riesgos, con el fin de evaluar si los riesgos han cambiado, se han materializado o sus controles son efectivos, al identificar algún cambio de los riesgos se debe realizar la actualización correspondiente en las matrices en las cuales queda el registro correspondiente.  Como evidencia queda la base de monitoreo. </t>
  </si>
  <si>
    <t>La (el) Director de Planeación y Prospectiva  designa un correo para el reporte de la información relacionada con la gestión de riesgos y en el que en caso de presentarse una materialización de riesgos es reportada por este medio. Su administración está en cabeza de todo el equipo del grupo de riesgos con el objetivo de asegurar la transparencia en la gestión de la información. Sin evidencia.</t>
  </si>
  <si>
    <t>El funcionario delegado del equipo de  riesgos, en caso de evidenciar que no se informó a la Dirección de Talento Humano y la Oficina de Control Interno de la materialización de un riesgo de corrupción, de manera inmediata realiza el reporte y lleva la situación presentada al CICCI con el objetivo de que se tomen las acciones pertinentes. Como evidencias quedarían las comunicaciones enviadas y el acta del CICCI.</t>
  </si>
  <si>
    <t>Definir cronograma de capacitación y realizarlas  en los temas relacionados con la gestión del riesgo</t>
  </si>
  <si>
    <t xml:space="preserve">Rocío Álvarez </t>
  </si>
  <si>
    <t>RC-TI-1</t>
  </si>
  <si>
    <t>Tecnologías de la Información</t>
  </si>
  <si>
    <t>Posibilidad de recibir o solicitar cualquier dádiva o beneficio a nombre propio o de terceros, con el fin de dar uso indebido o ilícito de información confidencial, privilegiada o reservada relativa a los procesos que adelanta la SAE, así como de sus sistemas de información</t>
  </si>
  <si>
    <t xml:space="preserve">No se tengan delimitados los permisos de usuarios en las plataformas tecnológicas
Deficiencia en los módulos de auditoría de los sistemas de información.
Existencia de vulnerabilidades de seguridad de la información en los sistemas de información
Daños o fallas en los sistemas de información
</t>
  </si>
  <si>
    <t>1) Pérdida de imagen reputacional y credibilidad institucional
2) Implicaciones a nivel penal, disciplinario, fiscal o sancionatorio
3) Demandas de la ciudadanía</t>
  </si>
  <si>
    <t>El Profesional Especializado III (Oficial de Seguridad) anualmente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de Planeación y Prospectiva. Como evidencia queda el instrumento de evaluación MSPI.</t>
  </si>
  <si>
    <t>El Equipo de seguridad de la información cada vez que recibe una solicitud asigna, modifica o inactiva los permisos de seguridad en los sistemas de información y/o herramientas a los perfiles de usuarios solicitados y aprobados por los lideres de procesos en la mesa de servicio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 Como evidencia queda el tablero de control de usuarios y perfiles.</t>
  </si>
  <si>
    <t>La Plataforma de seguridad de la Información diariamente genera alertas de patrones de acceso inusuales, ataques de fuerza bruta, debilidad en las características de acceso y/o comportamientos inusuales en los accesos de los usuarios a la plataforma tecnológica con el fin de evitar accesos no autorizados o fuga de información. Como evidencia queda reporte de alerta de acceso de usuarios.</t>
  </si>
  <si>
    <t>El profesional de la OTI cada vez que se recibe una solicitud de inactivación temporal o permanente de un usuario procede con la inactivación del mismo en cada sistema de información y/o herramienta al cual tiene acceso. Como evidencia queda el tablero de control y el registro en la mesa de servicios.</t>
  </si>
  <si>
    <t>Rara vez</t>
  </si>
  <si>
    <t>El profesional de la OTI en caso de materialización del riesgo lo reportara a la OIAC y Talento Humano con el fin de adoptar las medidas correctivas y/o sancionatorias. Como evidencia queda el reporte de materialización del riesgo.</t>
  </si>
  <si>
    <t xml:space="preserve">Realizar capacitaciones periódicas por seguridad de información </t>
  </si>
  <si>
    <t xml:space="preserve">Jefe de la OTI y el profesional delegado de seguridad de la información. </t>
  </si>
  <si>
    <t>RC-GTH-2</t>
  </si>
  <si>
    <t>Gestión de Talento Humano</t>
  </si>
  <si>
    <t xml:space="preserve">  Posibilidad de recibir o solicitar cualquier dádiva o beneficio a nombre propio o de tercero, con el fin de desviar recursos de nómina para beneficiar a un tercero.</t>
  </si>
  <si>
    <t>Investigaciones penales o disciplinarias
Pérdida de recursos de la Entidad</t>
  </si>
  <si>
    <t xml:space="preserve">El profesional delegado de la Dirección de Talento Humano cada vez que realiza la parametrización de la plataforma kactus verifica que sea acorde a los manuales establecidos.  El control queda sin evidencia ya que la verificación se realiza en el sistema de información. </t>
  </si>
  <si>
    <t xml:space="preserve">La plataforma Kactus cada vez que realizar un pago de nómina valida la planta activa del personal, con el fin de evitar que se realicen pagos a personas que no se encuentren vinculadas a la entidad. Control sin evidencia ya que lo realiza el aplicativo. Documentado en los manuales funcionales de la herramienta. </t>
  </si>
  <si>
    <t xml:space="preserve">La plataforma Kactus cada vez que realizar un pago de nómina genera directamente el archivo plano para subir a la plataforma del banco o entidad donde se va a realizar el pago. Control sin evidencia ya que lo realiza el aplicativo. Documentado en los manuales funcionales de la herramienta. </t>
  </si>
  <si>
    <t>El profesional delegado de la Dirección de Talento Humano en caso de detectar un pago inconsistente en beneficio de un tercero inicia el proceso de devolución con el objetivo de que la entidad pueda recuperar los recursos. Como evidencia quedaría la solicitud realizada por correos.</t>
  </si>
  <si>
    <t>RC-GTH-3</t>
  </si>
  <si>
    <t>Posibilidad de vincular un trabajador sin someterse al procedimiento de selección con el propósito de favorecer a un familiar, amigo o algún funcionario de la empresa</t>
  </si>
  <si>
    <t>Falta de ética profesional
Falta de control del proceso</t>
  </si>
  <si>
    <t xml:space="preserve">Investigaciones penales o disciplinarias
Pérdida de recursos de la Entidad
</t>
  </si>
  <si>
    <t>La Dirección de Talento Humano cada vez que se inicia un proceso de selección contrata a una empresa para realizar los estudios de seguridad y así asegurar la idoneidad de la información entregada. Control sin evidencia por confidencialidad. "P-GT1-010 Procedimiento Selección Talento Humano".</t>
  </si>
  <si>
    <t>La Dirección de Talento Humano una vez la empresa de seguridad entrega el informe, realiza revisión con el objetivo de dar la aprobación para continuar con el proceso. Control sin evidencia por confidencialidad. "P-GT1-010 Procedimiento Selección Talento Humano".</t>
  </si>
  <si>
    <t>El profesional delegado de la Dirección de Talento Humano, cada vez  que se presenta una vinculación verifica los documentos del proceso de selección y vinculación en el formato Lista de Chequeo Documentos Historia Laboral, validando si existen documentos pendientes por entregar o documentos duplicados registrándolo en el Formato Hoja de Control documentos Historia Laboral. Como evidencia queda la Lista de chequeo."P-GT1-012 Procedimiento Conformación de Historias Laborales".</t>
  </si>
  <si>
    <t>El profesional delegado de la Dirección de Talento Humano, en caso de que se llegue a contratar una persona que no cumpla con el total de los requisitos, informa a la Dirección de Talento Humano para iniciar el proceso de desvinculación.  Control no queda con evidencia por confidencialidad.</t>
  </si>
  <si>
    <t>Revisar  y actualizar el procedimiento de vinculación</t>
  </si>
  <si>
    <t>Cristian Castro Lopera
Andrea Gómez Ramírez</t>
  </si>
  <si>
    <t>RC-GTH-4</t>
  </si>
  <si>
    <t xml:space="preserve">Posibilidad de recibir o solicitar cualquier dadiva o beneficio a nombre propio o de un tercero con el fin de no reportar o sancionar una acción u omisión configurativa de un incumplimiento con el propósito de favorecer algún trabajador </t>
  </si>
  <si>
    <t xml:space="preserve">Falta de ética profesional
Falta de control del proceso </t>
  </si>
  <si>
    <t>Al menos 1 vez en el último año</t>
  </si>
  <si>
    <t xml:space="preserve">El Profesional delegado del GIT de Control Disciplinario interno,  anualmente realizara capacitación a todos los funcionarios con el objetivo de concientizar de la importada de los procesos disciplinarios y las responsabilidades derivadas. Como evidencia quedan el listado de asistencia y los resultados de la evaluación. </t>
  </si>
  <si>
    <t>El Profesional de control interno disciplinario cada vez que se requiera, podrá adelantar procedimiento disciplinario de manera autónoma sin requerir de la autorización del jefe directo de la persona involucrada con el objetivo de ejercer la potestad disciplinaria y garantizar la objetividad. Sin evidencia por confidencialidad. Procedimiento:  PR-TH-005</t>
  </si>
  <si>
    <t>RC-GTH-5</t>
  </si>
  <si>
    <t>Posibilidad de pérdida Reputacional y Económica por conflicto de interés particular y directo que impacta en la toma de decisiones o cumplimiento de las funciones de dirección de Talento Humano y el GIT de Control Disciplinario Interno.</t>
  </si>
  <si>
    <t>Existe un interés particular del funcionario que podría influir en sus obligaciones como servidor público.
Existe un interés económico del funcionario o de algún miembro de su familia en alguna empresa que tenga o busque beneficios propio o particular.</t>
  </si>
  <si>
    <t xml:space="preserve">Incumplimiento de lo establecido en el Código Único Disciplinario (Título IV) e inicio de un proceso disciplinario
Detrimento del patrimonio público 
Sanciones disciplinarias
</t>
  </si>
  <si>
    <t>El funcionario designado por la Dirección de Talento Humano para adelantar el procedimiento disciplinario en caso de presentarse y/o identificarse, deberá manifestar impedimento o dar traslado de la recusación presentada, para que sea revisada dentro del procedimiento previsto por la OIAC. Como evidencia queda pantallazo de correo de solicitud de concepto a la OIAC. Procedimiento:  PR-TH-005</t>
  </si>
  <si>
    <t>RC-GA-1</t>
  </si>
  <si>
    <t>Gestión Administrativa</t>
  </si>
  <si>
    <t>Posibilidad de recibir dádivas o beneficios a nombre propio o de terceros por la sustracción de bienes devolutivos de la Entidad.</t>
  </si>
  <si>
    <t>Conducta no ética de funcionario o contratista por la sustracción de bienes muebles para beneficio propio o de un tercero</t>
  </si>
  <si>
    <t>Afectación de la Imagen Institucional
Afectación de la ejecución presupuestal
Investigaciones penales, fiscales o disciplinarias
Requerimientos o sanciones por parte de un Ente de control</t>
  </si>
  <si>
    <t xml:space="preserve">El Técnico de la Dirección Administrativa realiza el seguimiento al inventario de bienes devolutivos conforme a la información registrada en el sistema y la toma física de inventarios realizada semestralmente, dejando como evidencia el formato de inventario de activos fijos por trabajador, con el fin de detectar el faltante en bienes devolutivos. </t>
  </si>
  <si>
    <t>En el caso que se requiera ingreso y salida  de equipos de la SAE,   la empresa de seguridad requerirá los formatos que evidencien la autorización  pertinente  dejando como evidencia la  minuta respectiva. 
En caso de que existan desviaciones se solicitará a la empresa de seguridad las grabaciones correspondientes para verificar el responsable de la pérdida o hurto.</t>
  </si>
  <si>
    <t xml:space="preserve">El técnico o profesional responsable de la Dirección Administrativa de manera trimestral o cuando lo considere pertinente reportara los bienes de propiedad planta y equipo  que deben ser asegurados en la póliza de Todo Riesgo Daño Material, con el fin de amparar estos bienes y actualizar la información conforme a las entradas y salida de inventario. Como evidencia queda el reporte y/o la póliza. </t>
  </si>
  <si>
    <t xml:space="preserve">
El profesional de la Dirección Administrativa una vez detecte la pérdida del bien devolutivo  hará efectiva los amparos de la póliza todo riesgo y tramitara la indemnización del siniestro para la reposición del bien. Como evidencia presentación del reclamo.</t>
  </si>
  <si>
    <t>Revisar y actualizar  el procedimiento de bienes Devolutivos</t>
  </si>
  <si>
    <t>Director Administrativo</t>
  </si>
  <si>
    <t>RC-GF-1</t>
  </si>
  <si>
    <t>Gestión Financiera</t>
  </si>
  <si>
    <t xml:space="preserve">Posibilidad  de alteración de la información contenida en el archivo plano para los pagos por concepto de nómina, impuestos locales, servicios públicos y descuentos por nómina, con el fin de lograr un pago efectivo a su beneficiario final </t>
  </si>
  <si>
    <t>Falta de ética profesional
Que los archivos planos para pago sean alterados</t>
  </si>
  <si>
    <t>Afectación en el nivel de satisfacción de usuarios internos y/o externos
Demandas
Afectación de la Imagen Institucional</t>
  </si>
  <si>
    <t>El funcionario designado de la Tesorería de la Dirección Financiera diariamente verifica que se encuentre con las autorizaciones respectivas en el flujo de pagos del aplicativo financiero para ejecutar el proceso de gestión de pago. Sin evidencia ya que  queda la trazabilidad en el aplicativo financiero.  PR-GF-004 Procedimiento para pagos</t>
  </si>
  <si>
    <t>Automático</t>
  </si>
  <si>
    <t>El funcionario designado por Tesorería de la Dirección Financiera diariamente descarga el archivo plano que el aplicativo financiero genera de manera automática. Este archivo contiene  la estructura y los protocolos de seguridad Asobancaria. Sin evidencia ya que  queda la trazabilidad en el aplicativo financiero.PR-GF-004 Procedimiento para pagos</t>
  </si>
  <si>
    <t>El funcionario designado por la Tesorería de la Dirección Financiera diariamente y posterior a todas las validaciones ejecuta los pagos a las cuentas bancarias de acuerdo con la información suministrada por las áreas misionales solicitantes de pagos.  Sin evidencia ya que  queda la trazabilidad en el aplicativo financiero.PR-GF-004 Procedimiento para pagos</t>
  </si>
  <si>
    <t>El funcionario designado por la Tesorería de la Dirección Financiera diariamente garantiza que previo a la ejecución de los pagos se hayan efectuado mínimo  dos de tres firmas autorizadas. Adicionalmente, se usa un token de seguridad como doble factor de autenticación autorizado por la entidad financiera. Sin evidencia ya que  queda la trazabilidad en el aplicativo bancario. PR-GF-004 Procedimiento para pagos</t>
  </si>
  <si>
    <t>RC-GF-2</t>
  </si>
  <si>
    <t>Posibilidad de recibir o solicitar cualquier dádiva o beneficio a nombre propio o de terceros, con el fin de  registrar recaudos de dineros que no han ingresado a las cuentas bancarias de SAE o FRISCO</t>
  </si>
  <si>
    <t xml:space="preserve">Favorecimiento propio y/o a un tercero en particular.
Amiguismo.
Soborno a funcionario
Concentración de autoridad.
</t>
  </si>
  <si>
    <t xml:space="preserve">Pérdida de recursos/activos - Detrimento Patrimonial por recepción de menor rentabilidad
Cohecho o concusión
Investigaciones penales, fiscales o disciplinarias
</t>
  </si>
  <si>
    <t xml:space="preserve">Responder afirmativamente de UNA a CINCO preguntas </t>
  </si>
  <si>
    <t>El funcionario designado por la Tesorería de la Dirección Financiera descarga diariamente desde la plataforma bancaria los archivos planos correspondientes a recaudos en su estructura Asobancaria 2011 los cuales son cargados posteriormente sin ninguna modificación al aplicativo misional. Sin evidencia ya que  queda la trazabilidad en el aplicativo bancario. PR-GF-009 Procedimiento para el recaudo de ingresos del FRISCO.</t>
  </si>
  <si>
    <t xml:space="preserve">El funcionario designado por la Tesorería de la Dirección Financiera verifica diariamente que los recursos que ingresan a través del medio de pago PSE estén conforme a la parametrización en sistema para su registro en el aplicativo misional. En caso de presentarse alguna inconsistencia con pagos de este convenio, escala la solicitud vía ticket a la Oficina de las Tecnologías de la Información OTI y a su vez ellos validen con los proveedores de pago el incidente tecnológico. Como evidencia queda el Tiket de solicitud. </t>
  </si>
  <si>
    <t>La Dirección financiera revisa semestral y/o anualmente los convenios con las entidades bancarias en caso de requerirse modificaciones o novedades en las condiciones de las cuentas de recaudo convenio mediante factura con código de barras. Mediante estos códigos de barra referenciados se garantiza la correcta identificación de una proporción importante de recaudo centralizado. Sin evidencia por confidencialidad.</t>
  </si>
  <si>
    <t>El profesional designado de la Tesorería de la Dirección financiera, cada vez que se requiera, solicita a las áreas misionales o entidades bancarias el apoyo para la identificación de los recaudos no identificados que se reciben a través de depósitos judiciales u otros canales y de esta manera realizar la correcta aplicación del recaudo al rubro que corresponda. En caso de no ser identificado, se clasifica en una cuenta contable especial de recaudos por clasificar. Sin evidencia por confidencialidad. PR-GF-009 Procedimiento para el recaudo de ingresos del FRISCO.</t>
  </si>
  <si>
    <t>RC-GC-1</t>
  </si>
  <si>
    <t>Gestión Contractual</t>
  </si>
  <si>
    <t>Posibilidad de recibir o solicitar cualquier dádiva o beneficio a nombre propio o de terceros, con el fin de favorecer la celebración de contratos de bienes y servicios.</t>
  </si>
  <si>
    <t xml:space="preserve">Evaluación subjetiva de necesidades contractuales de la entidad
No revisar la totalidad de documentación que habilite técnicamente, financieramente y jurídicamente a los potenciales contratistas a participar en el proceso de selección de proveedores
Evaluaciones incompletas o sesgadas de los potenciales contratistas
</t>
  </si>
  <si>
    <t xml:space="preserve">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 de supervisión contractual
7) Detrimento Patrimonial
</t>
  </si>
  <si>
    <t>Al menos 1 vez en los últimos 2 años</t>
  </si>
  <si>
    <t>El funcionario delegado o quien se designe como responsable por parte de la Dirección de Contratación, cada vez que se allega una solicitud de contratación determina por orden de llegada cual es el abogado a cargo del proceso, dejando registro en una base de datos con la finalidad de evitar favorecimiento en la celebración de contratos a cambio de dadivas. 
Como evidencia queda la matriz de seguimiento cuatrimestralmente.</t>
  </si>
  <si>
    <t>Cada vez que se adelante un proceso de contratación el abogado a cargo y el comité evaluador, darán estricto cumplimiento al  código de integridad y buen gobierno de la SAE S.A.S. (CO-DE2-1 ), con el fin de mantener la confidencialidad y reserva de la información precontractual antes de darle publicidad a través de SECOP II. Sin Evidencia por confidencialidad.</t>
  </si>
  <si>
    <t>En caso de evidenciarse el favorecimiento en el proceso de contratación  a cambio de dadivas, se adelantaran los procedimientos y procesos sancionatorios por medio memorando. Como evidencia queda el memorando Informativo.</t>
  </si>
  <si>
    <t>Cada vez que se adelante un proceso de contratación el abogado a cargo publicará en el medio electrónico institucional (Transparencia y Acceso a la información Pública) la contratación en curso y un vínculo al sistema electrónico para la contratación pública o el que haga sus veces.
Como evidencia se aportará trimestralmente pantallazo del medio electrónico institucional (Página web)</t>
  </si>
  <si>
    <t>Realizar formalización del formato de Matriz de Seguimiento.</t>
  </si>
  <si>
    <t xml:space="preserve">Paula  Andrea Zapata
Profesional Especializado I 
Dirección de contratación </t>
  </si>
  <si>
    <t>31/12/20525</t>
  </si>
  <si>
    <t>RC-GC-2</t>
  </si>
  <si>
    <t xml:space="preserve">Posibilidad de solicitar o recibir cualquier dadiva o beneficio a nombre propio o de tercero por la indebida adjudicación de los contratos favoreciendo a terceros que no cumplen con lineamientos establecidos en el manual de Compras y Adquisiciones de la entidad y normatividad que se encuentre vigente.
</t>
  </si>
  <si>
    <t>Debido a la falta de seguimiento y revisión durante el desarrollo de la fase precontractual, en el que se deben tener en cuenta la elaboración del análisis del sector, los estudios previos, el anexo técnico, así como el control de legalidad de los documentos del posible oferente o contratista para verificar su cumplimiento en experiencia e idoneidad.
Falta de control y seguimiento a la elaboración de los pliegos por parte de quienes tienen la función de realizarlo
Deficiencias en la elaboración de estudio de mercado, estudio de factibilidad manipulados por personal interesado en el futuro proceso de contratación
Complicidad de colaboradores de la ODT o proveedores para cometer actividades de fraude o corrupción
Falta de ética profesional
Adulteración o cambio de documentos presentados por terceros con complicidad interna
Falta de controles durante el desarrollo de la fase precontractual</t>
  </si>
  <si>
    <t>Intervención por parte de un ente de control u otro ente regulador
Afectación en el nivel de satisfacción de usuarios internos y/o externos
Demandas
Afectación de la Imagen Institucional
Afectación de la ejecución presupuestal
Investigaciones penales, fiscales, administrativas o disciplinarias</t>
  </si>
  <si>
    <t>En cada uno de los procesos de contratación allegados a la Dirección de Contratación el abogado asignado revisará la totalidad de documentos requeridos en la etapa precontractual asegurando el cumplimiento de la normatividad vigente, que la documentación esté completa y sea pertinente conforme a la modalidad. Posteriormente, relacionará en el listado de verificación documental el punto de control realizado.
Como evidencia queda los listados de verificación documental de los contratos suscritos cuatrimestralmente.</t>
  </si>
  <si>
    <t>En cada proceso de convocatoria que se adelante desde la Dirección de Contratación el profesional designado solicitará a la OIAC las debidas diligencias, con el fin de validar posibles Riesgos relacionados con  LAFT. Como evidencia queda los correos de solicitud.</t>
  </si>
  <si>
    <t>En caso de evidenciarse la adjudicación sin el lleno de los requisitos en el proceso de contratación  a cambio de dadivas, se adelantaran los procedimientos y procesos sancionatorios. Como evidencia queda el memorando Informativo.</t>
  </si>
  <si>
    <t>El profesional delegado de la Dirección de Contratación cada vez que se emite por el comité evaluador el informe final en un proceso de selección convoca al comité de compras y adquisiciones para dejarlo a votación para su aprobación. Como evidencia queda el acta de la sesión del comité. Procedimiento: Manual de compras</t>
  </si>
  <si>
    <t>RC-GC-3</t>
  </si>
  <si>
    <t xml:space="preserve">Posibilidad de solicitar o recibir cualquier dadiva o beneficio a nombre propio o de tercero  por omitir información falsa por parte de externos que conlleven a la toma de decisiones o actuaciones con base en documentos falsos o alterados para beneficiar a terceros
</t>
  </si>
  <si>
    <t>Tráfico de influencias
Interés indebido en la celebración de contratos
Complicidad de funcionarios o proveedores para cometer actividades de fraude o corrupción
Falta de ética profesional
Adulteración o cambio de documentos presentados por terceros con complicidad interna
Intereses personales de terceros</t>
  </si>
  <si>
    <t xml:space="preserve">Intervención por parte de un ente de control u otro ente regulador
Pérdida de recursos/activos - Detrimento Patrimonial
Tutelas
Demandas
Afectación de la Imagen Institucional
Afectación de la ejecución presupuestal
Investigaciones penales, fiscales o disciplinarias
Pago de indemnizaciones a terceros por acciones legales
Pago de sanciones económicas por incumplimiento de la normatividad aplicable
Requerimientos o sanciones
</t>
  </si>
  <si>
    <t>El profesional designado de la Dirección de Contratación cada vez que se inicia un proceso de contratación revisa la totalidad de documentos requeridos en la etapa precontractual asegurando el cumplimiento de la normatividad vigente, que la documentación esté completa y sea pertinente conforme a la modalidad. Posteriormente, relacionará en el listado de verificación documental el punto de control realizado.Como evidencia quedan los listados de verificación documental de los contratos suscritos cuatrimestralmente.</t>
  </si>
  <si>
    <t>El profesional designado de la Dirección de Contratación cuatrimestralmente verificará aleatoriamente los títulos académicos aportados en la etapa precontractual del 5% de los contratos de prestación de servicios con persona natural suscritos.Como evidencia quedan las solicitudes y respuestas de verificación de las Instituciones Educativas a las cuales se les elevó la consulta.</t>
  </si>
  <si>
    <t>En caso de evidenciarse la omisión en la revisión de documentación o información falsa relacionada proceso de contratación  a cambio de dadivas, se dará aviso a las áreas encargadas de los procedimientos y procesos sancionatorios ante los entes competente. Como evidencia queda el memorando Informativo.</t>
  </si>
  <si>
    <t>Realizar la revisión aleatoria  a los documentos allegados en la etapa precontractual ( Policía, Procuraduría y Contraloría).</t>
  </si>
  <si>
    <t xml:space="preserve">Paula Zapata 
Profesional Especializado I
Dirección de contratación </t>
  </si>
  <si>
    <t>RC-GC-4</t>
  </si>
  <si>
    <t xml:space="preserve">Posibilidad de conflicto de interes particular y directo que impacte en la toma de decisiones o cumplimiento de las obligaciones legales en materia de contratación </t>
  </si>
  <si>
    <t>Posible aplicación inadecuada u omisión de las normas relacionadas con el conflicto de interés.</t>
  </si>
  <si>
    <t>Posibles demandas de los contratistas
Incumplimientos a lineamientos internos
Pérdida de imagen institucional ante partes interesadas</t>
  </si>
  <si>
    <t xml:space="preserve">El profesional delegado de la Dirección de Contratación cada vez que se verifica los documentos precontractuales requeridos para la contratacion de prestacion de servicio con persona natural, valida que se alleguen la Declaracion de bienes y rentas y conflcto de interés de la función publica (Ley 2013-2019). Como evidencia queda la lista de chequeo. </t>
  </si>
  <si>
    <t>El profesional delegado de la Dirección de Contratación cada vez que se adelanta un proceso de selección incluye como requisito habilitante el diligenciamiento del certificado de inhabilidades e incompatibilidades (Cod. FO-GC-13) Como evidencia queda la lista de chequeo.</t>
  </si>
  <si>
    <t>RC-GJ-1</t>
  </si>
  <si>
    <t>Gestión Jurídica</t>
  </si>
  <si>
    <t xml:space="preserve">Posibilidad de recibir o solicitar cualquier dádiva o beneficio a nombre propio o de terceros, con el fin de abstenerse de  informar o de poner en conocimiento presuntas conductas delictivas o antiéticas a investigar por las autoridades respectivas  </t>
  </si>
  <si>
    <t>Desconocimiento de la normatividad que exige la denuncia de las conductas delictivas
Ausencia o debilidades en los canales formales para recepción de denuncias
Temor a repercusiones en la estabilidad laboral</t>
  </si>
  <si>
    <t>1) Pérdida de imagen reputacional y credibilidad institucional
2) Implicaciones a nivel penal, disciplinario, fiscal o sancionatorio
3) Demandas de la ciudadanía
4) Continuidad de conductas  delictivas no informadas</t>
  </si>
  <si>
    <t>El Director de Asuntos Legales Misionales verifica e identifica anualmente  las necesidades de capacitación con relación a temáticas del orden legal, incluyendo la gestión de denuncias, a fin de brindar los lineamientos y herramientas necesarias para disminuir el daño antijuridico de la entidad. N-GJ1-092 Instructivo Inicio de Acciones Penales</t>
  </si>
  <si>
    <t>El profesional designado en la Dirección de Asuntos Legales Misionales a solicitud de la Oficina de Integridad, Anticorrupción y Cumplimiento brindará apoyo en tema jurídico para la investigación y atención de presuntos casos de corrupción que sean recibidos en canales internos y externos para tal fin. Como evidencia queda memorando. PR-GJ-006 Inicio de Acciones Judiciales Prejudiciales y Administrativas</t>
  </si>
  <si>
    <t>En caso de evidenciarse materialización de presuntos conductas antiéticas al interior de la Dirección de Asuntos Legales Misionales a cambio de dadivas, se informará las áreas Control Disciplinario de Dirección Talento Humano, OIAC y Oficina de Control Interno para que se adelanten procesos sancionatorios si hay lugar. Como evidencia queda memorando de traslado. N-GJ1-092 Instructivo Inicio de Acciones Penales</t>
  </si>
  <si>
    <t>Actualización instructivo  N-GJ1-092 Instructivo Inicio de Acciones Penales</t>
  </si>
  <si>
    <t>Profesional especializado II Wulfrank Eliseo Tolosa Pérez</t>
  </si>
  <si>
    <t>RC-GJ-2</t>
  </si>
  <si>
    <t>Posibilidad de un conflicto de interés particular y directo que impacte el cumplimiento de las obligaciones legales para adelantar la defensa de la entidad en los procesos judiciales en que ésta haga parte.</t>
  </si>
  <si>
    <t>El apoderado se encuentra a cargo de un proceso judicial  en el cual puede haber conflicto de interés y esto puede influenciar la defensa de la entidad</t>
  </si>
  <si>
    <t xml:space="preserve">Pago de sentencias o costas del proceso
</t>
  </si>
  <si>
    <t xml:space="preserve">El funcionario delegado de asuntos legales misionales diariamente validad y realiza seguimiento a la base de pago de sentencia en el cual se registra los procesos a evaluar y las sentencias en proceso y procesadas. Como evidencia queda la base de pago de sentencia actualizada.   PR-GJ-009 Procedimiento pago cumplimiento orden judicial. </t>
  </si>
  <si>
    <t>El funcionario delegado de asuntos legales misionales diariamente valida y realiza seguimiento a la documentación requerida en el procedimiento por medio de los correos electrónicos recibidos por parte de los abogados externos y/o beneficiarios de pago de la SAE para identificar el cumplimiento de la misma; en caso del no cumplimiento se genera un memorando de solicitud de documentación y se realiza la devolución por ORFEO o correo electrónico. Como evidencia queda la base de pago de sentencia actualizada en el campo observaciones, fecha de devolución y estado final.  PR-GJ-009 Procedimiento pago cumplimiento orden judicial</t>
  </si>
  <si>
    <t>Realizar capacitaciones a los abogados externos y a los abogados de la dirección de asuntos legales misionales sobre el manejo de pago de sentencias.</t>
  </si>
  <si>
    <t>Profesional I
Lina Rodríguez
Dirección de asuntos legales misionales</t>
  </si>
  <si>
    <t>RC-GD-1</t>
  </si>
  <si>
    <t>Gestión Documental</t>
  </si>
  <si>
    <t>Hurto o uso indebido de información crítica y sensible de los procesos para beneficio de terceros</t>
  </si>
  <si>
    <t>Falta de seguridad en los depósitos de los archivos por la no aplicación de los lineamientos establecidos</t>
  </si>
  <si>
    <t>1. Sanciones de entes de Control.
2. Investigaciones disciplinarias, penales y fiscales
3. Mala imagen institucional
4. Perdida de la memoria institucional</t>
  </si>
  <si>
    <t>El guarda seguridad revisa cada vez que  se ingresa a las instalaciones las pertenencias personales  verificando que no ingresen USB, maletas, etc.,   verificando  ingresos por cámaras de vigilancia. Como evidencia de la aplicación de este control queda supervisión de este contrato.</t>
  </si>
  <si>
    <t xml:space="preserve">El líder  de Gestión Documental de la Dirección Administrativa asigna lokers cada vez que ingresa un funcionario a la entidad, con el objetivo de que sus pertenencias se han  guardadas y así evitar que ingresen bolsos, USB, que permitan perdida de información. </t>
  </si>
  <si>
    <t xml:space="preserve">El líder  de Gestión Documental de la Dirección Administrativa   autoriza cada vez que se requiera el ingreso de un funcionario con o sin equipos de cómputo. Como evidencia queda  correo autorización </t>
  </si>
  <si>
    <t>En caso de Hurto o uso indebido de información crítica y sensible de los proceso, El líder del proceso de  Gestión Documental de la Dirección Administrativa notificara al Director Administrativo y control de asuntos disciplinarios para que  realice las actividades pertinentes. Como evidencia queda el comunicado</t>
  </si>
  <si>
    <t>Boletín informativo todo funcionario que vaya a archivo central debe enviar correo para su respectiva autorización antes del ingreso</t>
  </si>
  <si>
    <t>Paola Tarazona</t>
  </si>
  <si>
    <t>RC-GD-2</t>
  </si>
  <si>
    <t>Posibilidad de conflicto de interés particular y directo que impacta el manejo de la documentación producida y recibida en virtud de las funciones desarrolladas por la SAE por la sustracción, alteración y/o cambio de los documentos físicos y/o electrónicos oficiales de la Entidad.</t>
  </si>
  <si>
    <t xml:space="preserve">No asegurar la entrega y actualización de los expedientes periódicamente conforme a la TRD.
Tener los documentos físicos almacenados fuera de las instalaciones de la Entidad.
No tener claramente definidos e implementados los criterios el control de acceso y consulta de los documentos físicos y electrónicos en el archivo de gestión y archivo central.
</t>
  </si>
  <si>
    <t xml:space="preserve">Comunicación a partes interesadas no autorizadas de
información de los archivos de gestión de la entidad.
Pérdida de la información en cualquier etapa de gestión de los documentos.
Desgaste administrativo y reprocesos
Apertura de procesos disciplinarios, administrativos y legales a servidores públicos.
Sanciones penales, fiscales, disciplinarias y legales.
Demoras o anulaciones de procesos contra las entidades
vigiladas y funcionarios. 
Pérdida de credibilidad en la gestión institucional.
</t>
  </si>
  <si>
    <t>El funcionario delegado por la Dirección Administrativa diariamente Monitorea la entrega y realiza la actualización de los expedientes físicos y electrónicos en compañía del equipo asignado para esta actividad. Como evidencia queda la base de circulación y préstamo.</t>
  </si>
  <si>
    <t>El funcionario delegado por la Dirección Administrativa diariamente documenta y actualiza la cadena de custodia en el manejo de los documentos físicos en el formato único de inventario documental FUID. Como evidencia queda un reporte estadístico del inventario documental FUID.</t>
  </si>
  <si>
    <t>El funcionario delegado por la Dirección Administrativa cada vez que se requiera verifica los controles de acceso y consulta de los documentos en el sistema de gestión documental (ORFEO).</t>
  </si>
  <si>
    <t xml:space="preserve">Realizar la actualización de  PINAR </t>
  </si>
  <si>
    <t>Líder de Gestión Documental
Dirección Administrativa</t>
  </si>
  <si>
    <t>RC-RR-1</t>
  </si>
  <si>
    <t>Recepción y Registro</t>
  </si>
  <si>
    <t>Posibilidad de recibir o solicitar cualquier dádiva o beneficio a nombre propio o de terceros, con el fin de alterar o manipular ilegalmente la información de los activos recibidos que puedan afectar su potencial de productividad</t>
  </si>
  <si>
    <t>Falta de verificación de los requisitos documentales de los depositarios provisionales y liquidadores en el registro inicial de solicitudes presentadas
Delegación de evaluación de depositarios provisionales y liquidadores en pocos evaluadores o en los mismos evaluadores 
Evaluaciones incompletas o sesgadas de los participantes para la inscripción del Registro de Depositarios Provisionales y Liquidadores
Relacionamiento personal o comercial de los participantes con profesionales involucrados en el proceso de evaluación de requisitos en la conformación del Registro de Depositarios Provisionales y Liquidadores
No hacer público la información de los potenciales aspirantes a depositarios provisionales y liquidadores
Decisiones descentralizadas para el registro de depositarios provisionales y liquidadores</t>
  </si>
  <si>
    <t>1) Pérdida de imagen reputacional y credibilidad institucional
2) Implicaciones a nivel penal, disciplinario, fiscal o sancionatorio
3) Administración inadecuada de los activos recibidos
4) Demandas de la ciudadanía</t>
  </si>
  <si>
    <t xml:space="preserve">El funcionario delegado del Dirección de Control del inventario, cada vez que se reciba un activo, validará las condiciones del bien registrándolas  en el "Acta de Recepción y/o entrega en sitio" lo cual debe ser concordante con el registro fotográfico de los activos, adicionalmente verificará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 Como evidencia del control queda la base de subsanaciones. </t>
  </si>
  <si>
    <t xml:space="preserve">El enlace operativo de la Dirección de control del inventario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y en correo informando a la Dirección de Nivel Central. Como evidencia queda la información registrada en el informe consolidado de diligencias de secuestro. </t>
  </si>
  <si>
    <t xml:space="preserve">La Dirección de control del inventario, en caso presentarse una alteración o manipulación inadecuada de  la información de los activos recibidos, notificará a la Dirección de Talento Humano y a las demás áreas pertinentes, con el fin de iniciar los procesos disciplinarios a los que haya lugar. Como Evidencia quedará el correo de comunicación. </t>
  </si>
  <si>
    <t xml:space="preserve">Realizar actualización de los procedimientos de la dirección con el fin de incluir los controles contemplados para el riesgo. </t>
  </si>
  <si>
    <t>Dirección de control del Inventario.</t>
  </si>
  <si>
    <t>RC-RR-2</t>
  </si>
  <si>
    <t>Posibilidad de recibir o solicitar cualquier dádiva o beneficio a nombre propio o de terceros, con el fin de favorecer a terceros en el proceso de registro de depositarios provisionales para la administración de los activos a cargo de SAE.</t>
  </si>
  <si>
    <t xml:space="preserve">Falta de verificación de los requisitos documentales de los depositarios provisionales en el registro inicial de solicitudes presentadas
Delegación de evaluación de depositarios provisionales en pocos evaluadores o en los mismos evaluadores 
Evaluaciones incompletas o sesgadas de los participantes para la inscripción del Registro de Depositarios Provisionales 
Relacionamiento personal o comercial de los participantes con profesionales involucrados en el proceso de evaluación de requisitos en la conformación del Registro de Depositarios Provisionales
No hacer público la información de los potenciales aspirantes a depositarios provisionales
Decisiones descentralizadas para el registro de depositarios provisionales
</t>
  </si>
  <si>
    <t>El (la) funcionaria delegado(a) de la Gerencia de Depositarios una vez surtidas las etapas establecidas en la convocatoria, solicitará vía correo electrónico a los aspirantes la suscripción y radicación del pagaré y carta de instrucciones especificando los términos, fechas y condiciones para su entrega. Como evidencia queda el correo electrónico y la matriz de control de pagarés de cada convocatoria. 
Procedimiento: "030- Procedimiento de convocatoria y selección de Depositarios Provisionales".</t>
  </si>
  <si>
    <t>El (la) Gerente de Depositarios designará a los funcionarios  encargados de realizar la evaluación jurídica y técnica de las convocatorias de depositarios. Como evidencia queda el correo electrónico de designación.
Procedimiento: "030- Procedimiento de convocatoria y selección de Depositarios Provisionales".</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</si>
  <si>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y/o matriz de la información consolidada revisada. En caso de requerirse aclaraciones a los evaluados, se solicitarán a través del módulo y/o correo electrónico para las respectivas subsanaciones. Como evidencia queda la base de convocatoria vigente
Procedimiento: "030- Procedimiento de convocatoria y selección de Depositarios Provisionales".</t>
  </si>
  <si>
    <t>El(la) Gerente de Depositarios o funcionario delegado solicitará mediante correo electrónico a la Oficina de Integridad, Anticorrupción y Cumplimiento la realización de la debida diligencia ampliada a los aspirantes que hayan superado la evaluación jurídica y técnica. Como evidencia queda la matriz de control de la convocatoria.
Procedimiento: "030- Procedimiento de convocatoria y selección de Depositarios Provisionales".</t>
  </si>
  <si>
    <t>El (la) funcionario asignado realizará la publicación de los datos básicos de los aspirantes en la página web de SAE por un término de tres (3) a cinco (05) días hábiles observaciones de la ciudadanía (de acuerdo con los términos de la convocatoria) verificando si existe alguna observación para remitírsela al aspirante para su respectiva respuesta a la ciudadanía. Como evidencia queda el documento de la publicación.
Procedimiento: "030- Procedimiento de convocatoria y selección de Depositarios Provisionales".</t>
  </si>
  <si>
    <t>El (la) funcionario(a) delegado (a) presentará información de los aspirantes que dieron cumplimiento de las diferentes etapas del proceso al Comité de Depositarios Provisionales, a fin de aprobar su inclusión en el Registro de Depositarios. La evidencia de este control quedará consignada en el Acta de dicho comité. En caso de que el aspirante no supere el proceso se le remitirá correo electrónico informativo sobre el no cumplimiento de requisitos.
Procedimiento: "030- Procedimiento de convocatoria y selección de Depositarios Provisionales".</t>
  </si>
  <si>
    <t xml:space="preserve">Realizar actualización de los procedimientos de la Gerencia de depositarios  con el fin de incluir los controles contemplados para el riesgo. </t>
  </si>
  <si>
    <t>RC-DA-1</t>
  </si>
  <si>
    <t>Diagnóstico y Alistamiento</t>
  </si>
  <si>
    <t xml:space="preserve">Posibilidad de recibir o solicitar cualquier dádiva o beneficio a nombre propio o de terceros, con el fin de alterar de manera indebida e ilícita diagnósticos de activos para direccionar los mecanismos de disposición temporal o definitiva de los bienes </t>
  </si>
  <si>
    <t>Falencias en la revisión de diagnósticos de intervención de muebles</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</si>
  <si>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</si>
  <si>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 xml:space="preserve">El profesional delegado por la Dirección de Analítica  verifica cada vez que se requiera una solicitud de viabilidad técnica la información de los informes de avalúos, en cuanto a que los valores se ajusten al comportamientos del bien en el mercado. Como evidencia queda matriz control de actividades .  </t>
  </si>
  <si>
    <t>Aleatoria</t>
  </si>
  <si>
    <t>El Director de la Dirección Analítica revisa y aprueba  el informe de diagnóstico final  realizado por los profesionales delegados encargados de realizar las viabilidades técnicas, analizando la información contenida,  dejando registro de su aprobación en los memorandos. En caso de requerirse ajustes, el director   solicitará por correo electrónico al funcionario del área encargada la respectiva corrección. Como evidencia queda una base de datos con la información de los activos revisados.</t>
  </si>
  <si>
    <t xml:space="preserve">El Funcionario delegado de la Dirección de Gobierno, Control y Democratización de Sociedades, cada vez que se requiera, verifica que la información suministrada por la Dirección de Analítica, Alistamiento y Valoración, coincida con al información reportada por el depositario, representante legal o gerente popular, con el fin de identificar las actividades a ejecutar y que los valores se ajusten al mercado. Control sin evidencia. </t>
  </si>
  <si>
    <t>El Funcionario delegado de la Dirección de Seguimiento y Control de Liquidaciones, cada vez que se requiera, verifica que la información suministrada por la Dirección de Analítica, Alistamiento y Valoración, coincida con al información reportada por el depositario o representante legal con funciones de liquidador, con el fin de identificar las actividades a ejecutar y que los valores se ajusten al mercado. Control sin evidencia.</t>
  </si>
  <si>
    <t>RC-DA-2</t>
  </si>
  <si>
    <t>Posibilidad de recibir o solicitar cualquier dádiva o beneficio a nombre propio o de terceros, con el fin de alterar o modificar irregular o ilícitamente la valoración o avalúos de los bienes administrados por SAE.</t>
  </si>
  <si>
    <t>Relacionamiento personal o comercial con firmas de valoración registradas en la base existente conformada por convocatoria pública</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</si>
  <si>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</si>
  <si>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 xml:space="preserve">El Profesional Especializado de la Dirección de Analítica Alistamiento y Valoración designa a una firma avaladora que integre el Registro de Firmas cada vez que se requiera, la elaboración de avalúos comerciales,   y se basa en la información de activos a valorar, de su capacidad y/o la ciudad en la que se encuentra ubicado el inmueble.   Como evidencia queda base control de asignación de avalúos comerciales, la cual es empleada para el manejo interno del grupo de trabajo. </t>
  </si>
  <si>
    <t xml:space="preserve"> El  profesional designado de  la Dirección de Analítica  con el fin de evitar que se dé favorabilidad a un tercero, asigna   cada vez que llegue  una solicitud a los funcionarios encargados de acuerdo con la carga laboral de los revisores, la revisión y aprobación de los informes de avalúos realizados por las firmas avaluadoras; es de tener en cuenta que los funcionarios no tienen contacto directo con los infractores o interesados en la compra del bien inmueble.  Como evidencia queda base de reporte.</t>
  </si>
  <si>
    <t xml:space="preserve">El profesional delegado de  la Dirección de Analítica en el caso que se evidencia una favorabilidad a un tercero o interesado en los informes de avaluó comercial se   informara a la las áreas pertinentes para que se tomen las medidas que se requiera. Como evidencia queda correo de traslado </t>
  </si>
  <si>
    <t>El profesional delegado de la Dirección de Analítica cada vez que llegue un informe de avalúo, realizará el registro de valoración en el aplicativo vigente verificando que la información de valoración se encuentre completa. Se debe cargar el informe técnico o avalúo respectivo, de lo contrario se realizarán las solicitudes de información requeridas. 
Como evidencia queda base reporte.</t>
  </si>
  <si>
    <t>El profesional delegado de la Dirección de Analítica,  cada vez que llegue un Avalúo, realizará el registro de valoración en el aplicativo vigente  verificando que la información de valoración se encuentre completa y cargando el informe técnico o avalúo respectivo. De lo contrario realizará las solicitudes de información requeridas. como evidencia queda base reporte.</t>
  </si>
  <si>
    <t xml:space="preserve">Sensibilizar  y capacitar al equipo frente a riesgos de corrupción </t>
  </si>
  <si>
    <t xml:space="preserve">Director </t>
  </si>
  <si>
    <t>RC-DA-3</t>
  </si>
  <si>
    <t>Posibilidad de recibir o solicitar cualquier dádiva o beneficio a nombre propio o de terceros, con el fin de alterar la valoración de los estimados de renta de los bienes inmuebles administrados por SAE.</t>
  </si>
  <si>
    <t>Asignación de personal no idóneo para la valoración de estimados de renta</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</si>
  <si>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</si>
  <si>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El Director  de Analítica Alistamiento y Valoración según atribuciones contempladas para la estimación de valores  de renta de inmuebles urbanos y rurales determinará, cada vez que requiera un estimado de renta  , mediante correo electrónico el o los funcionarios que realizarán la visita de inspección y estimado de renta verificando que sean idóneos e inscritos en el Registro Abierto de Evaluadores (RAA), para los externos cada vez que se envié estimado de renta y para los funcionarios de manera anual. Como evidencia queda certificado vigente  RAA</t>
  </si>
  <si>
    <t>Los lideres del proceso de   estimados de renta  de La Dirección de Analítica y Valoración de inmuebles según atribuciones contempladas en el proceso de estimados de renta, realizaran la revisión y aprobación de los estimados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mediante memorando o correo electrónico. Como evidencia  queda memorando y/o correo   electrónico .</t>
  </si>
  <si>
    <t xml:space="preserve">El Director de Analítica Alistamiento y  Valoración  el caso que se evidencia la alteración a la valoración de los estimados de renta de los bienes inmuebles administrados por SAE informara a la dirección de talento humano asuntos disciplinarios y a control interno para que se tomen las medidas que se requiera. Como evidencia queda correo de traslado </t>
  </si>
  <si>
    <t>El Funcionario delegado por el Director De Analítica y Valoración , verifica cada vez que llegue un informe técnico de valoración entregados por terceros tengan la información completa de acuerdo con parámetros exigibles con forme a la normatividad , la tipología del bien  y método de valoración adoptado, dejando registro de su aprobación por memorando y el aplicativo vigente según sea necesario. En caso que el informe requiera ajustes se solicitan los ajustes respectivos vía correo electrónico y/o memorando,  aplicativo vigente  según sea necesario. Como evidencia queda base reporte</t>
  </si>
  <si>
    <t xml:space="preserve">Actualización de la información documentada del proceso de estimados de renta </t>
  </si>
  <si>
    <t>RC-DA-4</t>
  </si>
  <si>
    <t xml:space="preserve">Posibilidad de recibir o solicitar cualquier dádiva o beneficio a nombre propio o de terceros, con el fin de alterar la Viabilidad Técnica de inmuebles urbanos  para favorecer la transferencia a terceros </t>
  </si>
  <si>
    <t>El grupo de Alistamiento verifica cada vez que se requiera un  activo postulado para donación que  la parte física , ubicación, estado Jurídico y  normativo  cumpla con los parámetros en cuanto a los usos permitidos del bien sujeto a destinación a fin de emitir la Viabilidad Técnica para su Donación. Como evidencia queda concepto técnico</t>
  </si>
  <si>
    <t>El Coordinador del Git de Diagnóstico y Valoración  revisa el concepto Técnico cada vez que se requiera un  activo postulado para donación con el objetivo de que no se incumpla ningún parámetro  en cuanto a los usos permitidos del bien sujeto a destinación. Como evidencia queda concepto técnico</t>
  </si>
  <si>
    <t>El Director de Analítica Alistamiento  y Valoración aprueba el Concepto Técnico cada vez que se requiera un  activo postulado para donación . Como evidencia queda concepto técnico</t>
  </si>
  <si>
    <t>El funcionario Delegado por la Dirección de Analítica y Valoración En caso de detectarse alguna alteración en la Viabilidad técnica se notificará a la Dirección para la Democratización de Activos Inmuebles Urbanos con el fin informar de que  elabore un nuevo concepto sin vicios de información. Como evidencia queda el memorando</t>
  </si>
  <si>
    <t>Revisar y actualizar la información documentada relacionada con alistamiento</t>
  </si>
  <si>
    <t>Director</t>
  </si>
  <si>
    <t>RC-DA-5</t>
  </si>
  <si>
    <t xml:space="preserve">Posibilidad de recibir o solicitar cualquier dádiva o beneficio a nombre propio o de terceros, cuando una dirección territorial y/o contratista ejecute una reparación Rom, debido a falta de revisión técnica del estado físico para cubrir la necesidad y modalidad del proceso de ejecución.
</t>
  </si>
  <si>
    <t xml:space="preserve">Falta de ética profesional
Falta de control del proceso
</t>
  </si>
  <si>
    <t xml:space="preserve">1) Pérdida de imagen reputacional y credibilidad institucional
2) Implicaciones a nivel penal, disciplinario, fiscal o sancionatorio
3) Disminución en posibles ganancias por productividad del activo 
4) Demandas de la ciudadanía 
5) Procesos de administración directa ineficaces
</t>
  </si>
  <si>
    <t xml:space="preserve">El profesional delegado por la Dirección de Analítica, Alistamiento y Valoración (DAAV), cada vez que se solicite  viabilidad técnica desde las direcciones territoriales sobre un activo que requiera la realización de alguna actividad ROM , verifica que el formato de solicitud cuente con toda la información básica necesaria y que ésta sea coherente constructivamente con la solicitud y necesidad generada. La información registrada en la solicitud que se realiza a la DAAV, debe estar previamente revisada y avalada por el director territorial. 
Como evidencia queda base registro de aprobaciones viabilidades técnicas. PR-DA-011 Procedimiento de ROM de Bienes Inmuebles  </t>
  </si>
  <si>
    <t>El profesional delegado por la Dirección de Analítica, Alistamiento y Valoración (DAAV), cada vez que se solicite  viabilidad técnica desde el depositario de sociedades sobre un activo que requiera la realización de alguna actividad ROM , verifica que el formato de solicitud cuente con toda la información básica necesaria y que ésta sea coherente constructivamente con la solicitud y necesidad generada. La información registrada en la solicitud que se realiza a la DAAV con el visto bueno de sociedades. Como evidencia queda base registro de aprobaciones viabilidades técnicas. PR-DA-011 Procedimiento de ROM de Bienes Inmuebles</t>
  </si>
  <si>
    <t>Sensibilizaciones asociadas a proceso Rom a las Direcciones Territoriales y Sociedades</t>
  </si>
  <si>
    <t>RC-DT-1</t>
  </si>
  <si>
    <t>Disposición temporal de activos no sociales</t>
  </si>
  <si>
    <t>Posibilidad de recibir o solicitar cualquier dádiva o beneficio a nombre propio o de terceros, con el fin de favorecer a terceros para que de manera ilegal se apropien de activos del estado</t>
  </si>
  <si>
    <t>Favorecer a terceros para que de manera ilegal  se  apropien de activos del estado.</t>
  </si>
  <si>
    <t>1) Pérdida de imagen reputacional y credibilidad institucional
2) Implicaciones a nivel penal, disciplinario, fiscal o sancionatorio
3) Demandas de la ciudadanía</t>
  </si>
  <si>
    <t>El funcionario delegado desde la dirección para la Democratización de Activos Inmuebles Urbanos e inmuebles Rurales, semestralmente, realiza seguimiento a las entidades por medio de la documentación de la actualización de las pólizas, prediales y obligaciones administrativas que se cumpla con lo dispuesto en el acto administrativo. Como evidencia queda la base de control y seguimiento a los destinatarios.          PR-DT-004 Procedimiento Para El Seguimiento Y Control De Destinación Provisional De Bienes Inmuebles</t>
  </si>
  <si>
    <t>Los funcionarios delegados por la Dirección para la democratización de activos inmuebles rurales en caso de presentarse incumplimiento en las obligaciones del destinatario proceden a presentarlo en el Comité de Depositarios, Destinatarios, Mandatarios y Liquidadores con el fin de lograr la remoción y rendición de cuentas. Como evidencia queda la presentación ante el comité. PR-DT-004 Procedimiento Para El Seguimiento Y Control De Destinación Provisional De Bienes Inmuebles</t>
  </si>
  <si>
    <t xml:space="preserve">El Director(a) de la  Dirección para la democratización de activos inmuebles rurales en caso de evidenciar afectaciones económicas por el incumplimiento de las obligaciones del destinatario, solicitará hacer efectiva la garantía constituida en el marco de la destinación provisional. Como evidencia de la ejecución del control quedará el correo electrónico y/o memorando de solicitud. </t>
  </si>
  <si>
    <t>El Director para la Democratización de Activos Muebles anualmente gestiona la suscripción o prórroga del contrato según corresponda de comercialización de muebles a través de la subasta martillo, los semovientes a través de subastas ganaderas y la chatarrización a través de catalizadoras autorizadas por el Ministerio de Transporte. Como evidencia quedan los contratos con sus respectivos soportes. procedimiento: " P-DF1-037 Procedimiento Chatarrización, P-DF1-186_Procedimiento_comercializacion_de_bienes_bajo_la_modalidad_de_martillo y PP-DF1-100 Procedimiento Comercialización de Semovientes."</t>
  </si>
  <si>
    <t>El Director para la Democratización de Activos Mubles o quien corresponda en caso de identificarse la solicitud o recepción de dádivas se reporta al jefe inmediato a la oficina de control interno o OIAC. Como evidencia queda el documento de reporte. Procedimiento.</t>
  </si>
  <si>
    <t xml:space="preserve">El funcionario delegado desde la dirección para la Democratización de Activos Inmuebles Urbanos , semestralmente, realiza seguimiento a los destinatarios por medio de la documentación de la actualización de garantías, prediales y obligaciones administrativas que se cumpla con lo dispuesto en el acto administrativo. Como evidencia queda la base de control y seguimiento a los destinatarios.    PR-DT-004 Procedimiento Para El Seguimiento Y Control De Destinación Provisional De Bienes Inmuebles    </t>
  </si>
  <si>
    <t>RC-DT-2</t>
  </si>
  <si>
    <t>Posibilidad de recibir o solicitar cualquier dádiva o beneficio a nombre propio o de terceros, con el fin de asignar un bien para su disposición o administración temporal sin el cumplimiento de los requisitos de ley y la normativa definida</t>
  </si>
  <si>
    <t xml:space="preserve">Relacionamiento personal cercano con actores institucionales que solicitan la asignación de activos bajo la modalidad de destinación provisional
Deficiencias en los controles y falta de transparencia en la asignación </t>
  </si>
  <si>
    <t xml:space="preserve">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
</t>
  </si>
  <si>
    <t xml:space="preserve">Se delega un funcionario de la Dirección de Proyectos ajeno al proceso  de validación y revisión ESAL para realizar el reparto de las organizaciones que se reciben para revisión y les asigna 2 validadores y 1 revisor de forma aleatoria.
Como evidencia esta la matriz de asignación de organizaciones para validación </t>
  </si>
  <si>
    <t xml:space="preserve">El  funcionario delegado por la Dirección de Proyectos, cada vez que recibe una solicitud de acceso a la ruta de destinación de activos, verifica que cumpla con los criteros habilitantes y documentos requeridos para el proceso. Una vez identificadas las entidades que cumplen con los requisitos diligencia el formato de validación de criterios y procede a dar traslado a la Vicepresidencia de Activos Muebles e Inmuebles para continuar con el proceso.
Como evidencia queda el formato de validación de criterios de cada organización firmado por los dos validadores y el revisor asignado </t>
  </si>
  <si>
    <t xml:space="preserve">El profesional delegado de la Dirección para la Democratización de Activos Inmuebles Rurales verifica, cada vez que se realiza las solicitudes de destinación provisional que se presenten de manera completa conforme a la metodología de la administración del FRISCO y el procedimiento de asignación de destinatarios provisionales. Como evidencia queda la matriz de Destinación provisional. R-DT-002 Procedimiento destinación provisional de bienes </t>
  </si>
  <si>
    <t>El profesional delegado de la Dirección para la Democratización de Activos Inmuebles Rurales, cuando  se presenta una solicitud de destinación provisional en caso de que aplique se  programa visita de inspección para evaluar el balance del proyecto productivo. Como evidencia queda el informe de visita de inspección.</t>
  </si>
  <si>
    <t>El Director de Activos Inmuebles Rurales o quien delegue según la tipología del activo,  en el caso que se requiera la  verificación en una entrega material, valida   que la identificación de la persona natural o jurídica autorizada para la recepción del bien coincidida con los documentos que ordenan la entrega con base en los soportes preestablecidos (Resoluciones, contratos, actos administrativos de autorización, documento de identidad, entre otros de acuerdo con el tipo de bien). Como evidencia queda base check list requisitos derechos de uso.</t>
  </si>
  <si>
    <t>La Directora para la Democratización de Activos Inmuebles Rurales o quien delegue, en caso de que se asigne la administración provisional a alguien que no cumpla con los requisitos, solicita a la persona la subsanación de los pendientes para continuar con el proceso. Como evidencia queda base cuadro de control - subsanaciones.</t>
  </si>
  <si>
    <t>El Director para la Democratización de Activos Muebles o quien delegue cumple con los requisitos estipulados para la designación de bienes a través del mecanismo de destinación definitiva donación o destinación provisional. Como evidencia queda los actos administrativos de designación del bien. Procedimiento: PR-DT-002 Procedimiento destinación provisional de bienes"</t>
  </si>
  <si>
    <t xml:space="preserve">El Director para la Democratización de Activos Muebles o quien corresponda en caso de identificarse la solicitud o recepción de dádivas se reporta al jefe inmediato a la oficina de control interno o OIAC. Como evidencia queda el documento de reporte. </t>
  </si>
  <si>
    <t>El profesional delegado de la Dirección para la democratización de Activos Inmuebles Urbanos verifica cada vez que se reciba solicitudes de destinación provisional de entidades públicas que se presenten de manera completa conforme a la metodología de la administración del Frisco los procedimientos de disposición temporal de bienes inmuebles urbanos no sociales dispuestos por la entidad. Como evidencia queda base matriz.
R-DT-012 Procedimiento solicitud suscripción de comodato</t>
  </si>
  <si>
    <t>El profesional delegado de la Dirección para la democratización de Activos Inmuebles Urbanos verifica cada vez que se reciba solicitudes de destinación provisional de entidades sin ánimo de lucro que se presenten de manera completa conforme a la metodología de la administración del Frisco los procedimientos de disposición temporal de bienes inmuebles urbanos no sociales dispuestos por la entidad. Como evidencia queda base matriz.
R-DT-012 Procedimiento solicitud suscripción de comodato</t>
  </si>
  <si>
    <t>En caso de evidenciar una asignación de un bien para su disposición o administración temporal sin el cumplimiento de los requisitos de ley y la normativa definida se procede a informar al director y/o vicepresidente operativo por medio de correo electrónico. Como evidencia queda el correo (Dirección para la democratización de Activos Inmuebles Urbanos)</t>
  </si>
  <si>
    <t>RC-GPS-1</t>
  </si>
  <si>
    <t>Gestión del Portafolio de Sociedades</t>
  </si>
  <si>
    <t>Posibilidad de recibir o solicitar cualquier dádiva o beneficio a nombre propio o de terceros, con el fin de favorecer a terceros en el registro de revisores fiscales, representantes legales y oficiales de cumplimiento, para la administración de sociedades activas y en liquidación a cargo de SAE</t>
  </si>
  <si>
    <t>No validar de manera completa la información y soportes presentados al momento de recibir las solicitudes de registro de revisores fiscales
Evaluaciones incompletas o sesgadas de los participantes para la inscripción del Registro de Revisores Fiscales
Relacionamiento personal o comercial de los participantes con profesionales involucrados en el proceso de evaluación de requisitos en la conformación del Registro de Revisores Fiscales
No hacer público la información de los potenciales aspirantes a Revisores Fiscales</t>
  </si>
  <si>
    <t>1) Pérdida de imagen reputacional y credibilidad institucional
2) Implicaciones a nivel penal, disciplinario, fiscal o sancionatorio
3) Administración inadecuada de las sociedades recibidas
4) Demandas de la ciudadanía</t>
  </si>
  <si>
    <t>El Funcionario delegado de la Vicepresidencia de Sociedades, cada vez que se realiza la convocatoria de representantes legales, revisores fiscales y oficiales de cumplimiento,  valida la información básica, de cobertura, de infraestructura, financiera y la documentación soporte que garantice la idoneidad del aspirante, recibida de cada aspirante. Como evidencia queda la base de registro de aspirantes.</t>
  </si>
  <si>
    <t xml:space="preserve">La Vicepresidencia de Sociedades designará a los profesionales idóneos de la Dirección de Gobierno, Control y Democratización de Sociedades, encargados de realizar la evaluación técnica, cada vez que se presente una convocatoria, según su competencia, en la herramienta dispuesta para tal fin, dejan registro del cumplimiento o no de los requisitos. Como evidencia queda la base de evaluación de los aspirantes. Se encuentra documentado en el procedimiento de Gobierno Corporativo. </t>
  </si>
  <si>
    <t>La Vicepresidencia de Sociedades designará a los profesionales idóneos de la Dirección de Seguimiento y Control de Liquidaciones, encargados de realizar la evaluación técnica, cada vez que se presente una convocatoria, según su competencia, en la herramienta dispuesta para tal fin, dejan registro del cumplimiento o no de los requisitos. Como evidencia queda la base de evaluación de los aspirantes. Se encuentra documentado en el procedimiento de Gobierno Corporativo.</t>
  </si>
  <si>
    <t xml:space="preserve">El Funcionario delegado de la Vicepresidencia de Sociedades, cada vez que se requiera, con base en la lista provisional de aspirantes, realiza solicitud a la OIAC para el estudio de debida diligencia. Como evidencia queda la lista de aspirantes donde se registra el envío a estudio de debida diligencia. se encuentra documentado PR-GP-001 Procedimiento de Debida Diligencia.  </t>
  </si>
  <si>
    <t xml:space="preserve">El funcionario delegado de la Vicepresidencia de Sociedades, cada vez que se presente una convocatoria, solicitará al área de comunicaciones la publicación del listado de los aspirantes seleccionados en la página web de la SAE por un término de tres (3) días hábiles, con el fin de  recibir las observaciones de la ciudadanía y dar respuesta a las mismas. Como evidencia queda la captura de pantalla de la publicación. </t>
  </si>
  <si>
    <t>Se solicitara la validación por parte de la figura según el mecanismo de administración, en el informe de gestión o acta de asamblea,  respecto a la gestión de revisor fiscal, así como el inicio de acciones legales en los casos que se requiera.</t>
  </si>
  <si>
    <t xml:space="preserve">Los profesionales de cada dirección. </t>
  </si>
  <si>
    <t>RC-GPS-2</t>
  </si>
  <si>
    <t xml:space="preserve">Posibilidad de recibir o solicitar cualquier dádiva o beneficio a nombre propio o de terceros, con el fin de manipular o direccionar información procesada o generada en el marco de las actividad de la auditoria a sociedades y/o establecimientos de comercio.
</t>
  </si>
  <si>
    <t>Relacionamiento personal de los auditores con los auditados</t>
  </si>
  <si>
    <t>1) Toma de decisiones de la Alta Dirección equivocadas o no acordes con la realidad institucional
2) Vulneración del principio de confidencialidad
3) Favorecimiento o perjuicio a los auditados
4) Afectación de la imagen de la Oficina de Control Interno</t>
  </si>
  <si>
    <t>El gerente de auditoría de sociedades remite de manera trimestral alertando  a el equipo de la gerencia de auditoria respecto a los casos que pueden materializar un posible conflicto de interés, con el fin de evitar que los funcionarios reciban dadivas o beneficios de las sociedades y/o establecimientos de comercio auditados. como evidencia queda correo electrónico</t>
  </si>
  <si>
    <t>El gerente de auditoría de sociedades en caso de presentarse una situación de manipulación o direccionamiento de la información procesada para beneficio de un tercero, da traslado por competencia a la Dirección de Talento Humano - Asuntos Disciplinarios y a la oficina de control interno con el fin de que se tomen las medidas a lugar. Como evidencia quedaría la comunicación de traslado con los documentos soporte a la Dirección de Talento Humano y a la oficina de control interno.</t>
  </si>
  <si>
    <t>Documentar controles en el procedimiento de ejecución de auditoría</t>
  </si>
  <si>
    <t>Gerencia auditoria a sociedades</t>
  </si>
  <si>
    <t>RC-DF-1</t>
  </si>
  <si>
    <t>Disposición o democratización de activos</t>
  </si>
  <si>
    <t>Posibilidad de recibir o solicitar cualquier dádiva o beneficio a nombre propio o de terceros, con el fin de enajenar de manera temprana un bien sin el cumplimiento de los requisitos exigibles.</t>
  </si>
  <si>
    <t xml:space="preserve">Debilidades en la revisión de fichas de enajenación temprana de muebles.
.
Valores no éticos y morales de funcionarios que realizan  o revisan las fichas técnicas de enajenación temprana"
</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</si>
  <si>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</si>
  <si>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El Director para la Democratización de Activos Muebles o quien delegue en el momento de suscribir el contrato de comercialización de muebles a través de la subasta martillo y chatarrización define que el recaudo por disposición final de activos se realice a través de canales electrónicos a través de cupón de pago a la cuenta designada por la Entidad. Como evidencia está el contrato y el cupón de pago generado. Procedimiento: " P-DF1-037 Procedimiento Chatarrización, P-DF1-186_Procedimiento_comercializacion_de_bienes_bajo_la_modalidad_de_martillo y PP-DF1-100 Procedimiento Comercialización de Semovientes."</t>
  </si>
  <si>
    <t>El funcionario delegado por la Democratización de Activos Muebles, cada vez que se requiera realiza la solicitud de certificación de ingresos a la Dirección Financiera de recursos percibidos por las gestiones adelantadas por la dirección de Activos Muebles. Como evidencia queda el correo electrónico de solicitud.</t>
  </si>
  <si>
    <t>El funcionario delegado por la Democratización de Activos Muebles, cada vez que se requiera realiza la solicitud de certificación de ingresos a la Dirección Financiera de recursos percibidos por las gestiones adelantadas por la dirección de Activos Muebles remitiendo la relación de activos involucrados en el pago y su estado jurídico para que se realice la respectiva contabilización por activo. Como evidencia queda el memorando de solicitud de contabilización de recursos.</t>
  </si>
  <si>
    <t>El profesional delegado de la Vicepresidencia de Activos Muebles e Inmuebles  cada vez que el comité  sesiona revisa las fichas de enajenación temprana remitidas por parte de las Direcciones Territoriales, verificando la causal de enajenación temprana seleccionada, su justificación y el correcto diligenciamiento de la ficha junto con sus soportes. En caso de reportarse un bien improductivo, se revisará la base de datos de productividad con el fin de confirmar su estado. Como evidencia queda la relación de los casos discutidos en el comité. PR-DA-002 Procedimiento Enajenación Temprana de Bienes</t>
  </si>
  <si>
    <t>El delegado de la Vicepresidencia de Activos Muebles e Inmuebles o quien corresponda en caso de presentarse un proceso de enajenación temprana de un activo sin el cumplimiento de sus requisitos solicita el insumo para la realización de la revocatoria a través de un acto administrativo. Como evidencia queda el acto administrativo.</t>
  </si>
  <si>
    <t>Revisar y actualizar la información documentada relacionada con la Enajenación temprana </t>
  </si>
  <si>
    <t xml:space="preserve">Vicepresidencia de Activos muebles e inmuebles </t>
  </si>
  <si>
    <t>RC-DF-2</t>
  </si>
  <si>
    <t>Posibilidad de recibir o solicitar cualquier dádiva o beneficio a nombre propio o de terceros, con el fin de realizar entregas físicas de bienes sin el cumplimiento de los requisitos en los procesos de disposición final</t>
  </si>
  <si>
    <t>Debilidades en los controles de entrega física de activos a compradores, contratistas de disposición final, entidades públicas, o afectados</t>
  </si>
  <si>
    <t xml:space="preserve">1) Pérdida de imagen reputacional y credibilidad institucional
2) Implicaciones a nivel penal, disciplinario, fiscal o sancionatorio
3) Demandas de la ciudadanía
</t>
  </si>
  <si>
    <t>El profesional delegado de la Dirección para la Democratización de Activos Inmuebles Rurales, cada vez que recibe una solicitud de entrega física del inmueble, verifica que el inmueble cuente con el acto administrativo de transferencia garantizando o promesa de compraventa con el fin de revisar el cumplimiento de los requisitos para la disposición final. Como evidencia quedaría la base de control de extintos con los actos administrativos. Procedimiento De Destinación Definitiva De Bienes Inmuebles Rurales En Favor De La Agencia Para La Reincorporación Y Normalización
PR-DF-004 Procedimiento de destinación definitiva de bienes inmuebles a entidades beneficiadas en leyes especiales</t>
  </si>
  <si>
    <t>El profesional delegado de la Dirección para la Democratización de Activos Inmuebles Rurales, cada vez que se presenta el caso de entrega se dispondrá de una visita técnica entre funcionarios de la entidad receptora y funcionarios de la SAE, con el fin de realizar validación técnica, social, física, entre otras. Como evidencia queda las actas de entrega cargadas en sistema sigma 2.0. P-DF2-212 Procedimiento De Destinación Definitiva De Bienes Inmuebles Rurales En Favor De La Agencia Para La Reincorporación Y Normalización
PR-DF-004 Procedimiento de destinación definitiva de bienes inmuebles a entidades beneficiadas en leyes especiales</t>
  </si>
  <si>
    <t>El profesional delegado de la Dirección de Gobierno, Control y Democratización de Sociedades, cada vez que se presenta, al momento de la entrega física del bien verifica que se cumpla lo descrito en el procedimiento de entrega de activos. Como evidencia quedan las actas de entrega de  activos. PR-DF-002 Procedimiento de remarcación, entrega y descarga de activos.</t>
  </si>
  <si>
    <t>El profesional delegado de la Dirección de Seguimiento y Control de Liquidaciones, cada vez que se presenta, al momento de la entrega física del bien verifica que se cumpla lo descrito en el procedimiento de entrega de activos. Como evidencia quedan las actas de entrega de  activos. PR-DF-002 Procedimiento de preparación, entrega y descarga de activos.</t>
  </si>
  <si>
    <t>El Vicepresidente de Activos Muebles e Inmuebles o quien delegue según la tipología del activo, cada vez que se realiza una entrega física de un activo, verifica  que la identificación de la persona natural o jurídica autorizada para la recepción del bien coincidida con los documentos que ordenan la entrega con base en los soportes preestablecidos (Resoluciones, contratos, actos administrativos de autorización, documento de identidad, entre otros de acuerdo con el tipo de bien). Como evidencia queda acta o documenta de salida del activo.</t>
  </si>
  <si>
    <t>El Vicepresidente de Activos Muebles e Inmuebles o quien delegue en caso de presentarse inconsistencias en el momento de entrega del activo  comunica mediante informe enviado por correo electrónico la situación para que se investigue o denuncia ante la justicia. Como evidencia queda el informe</t>
  </si>
  <si>
    <t>Realizar el comparativo de las validaciones con el inventario mensual.</t>
  </si>
  <si>
    <t>Profesional I y Profesional II</t>
  </si>
  <si>
    <t>RC-DF-3</t>
  </si>
  <si>
    <t>Posibilidad de recibir o solicitar cualquier dádiva o beneficio a nombre propio o de terceros, con el fin de transferir el dominio de bienes a entidades públicas a título de donación y/o destinación especifica sin el cumplimiento de los requisitos exigidos</t>
  </si>
  <si>
    <t xml:space="preserve">Transferir el dominio de bienes a entidades públicas a título de donación sin el cumplimiento de los requisitos exigidos.
Deficiencias en los controles y falta de transparencia en la asignación </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</si>
  <si>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</si>
  <si>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El profesional delegado de la Dirección para la Democratización de Activos Inmuebles Rurales, cada vez que se reciba una solicitud de transferencia,  gestionara la determinación de la viabilidad jurídica del activo . En caso de no ser viable se informara a la entidad pública que no es posible la donación. Como evidencia de la aplicación del control quedara comunicación a la entidad pública: PR-DF-004 Procedimiento de destinación definitiva de bienes inmuebles a entidades beneficiadas en leyes especiales</t>
  </si>
  <si>
    <t>El profesional delegado de la Dirección para la Democratización de Activos Inmuebles Urbanos, de acuerdo con el tipo del bien, validará si el proyecto presentado por parte de la Entidad Pública es viable de acuerdo con la revisión de la solicitud efectuada por los profesionales delegados y el cumplimiento de los criterios de donación y/o destinación especifica establecidos en el procedimiento. En caso de no ser viable se informará a la entidad pública que no es posible la donación.</t>
  </si>
  <si>
    <t>Realizar socialización con la Vice operativa.</t>
  </si>
  <si>
    <t>Dirección de Urbanos</t>
  </si>
  <si>
    <t>RC-DF-4</t>
  </si>
  <si>
    <t>Posibilidad de recibir o solicitar cualquier dádiva o beneficio a nombre propio o de terceros, con el fin de favorecer o viabilizar la comercialización de un activo.</t>
  </si>
  <si>
    <t xml:space="preserve">Favorecer a terceros para la venta de un activo. </t>
  </si>
  <si>
    <t xml:space="preserve">1) Pérdida de imagen reputacional y credibilidad institucional
2) Implicaciones a nivel penal, disciplinario, fiscal o sancionatorio
3) Demandas de la ciudadanía
4) Dificultad administrativa, operativa y comercial para la administración de los activos
7) Altos costos operacionales de administración de activos
</t>
  </si>
  <si>
    <t xml:space="preserve">El profesional delegado de la Gerencia de comercialización de activos no sociales, cada vez que se pretende comercializar un bien, solicita la publicación del bien a través del operador comercial o realiza la publicación en el portal de SAE, con el fin de garantizar la selección publica y transparente del oferente. Como evidencia de la aplicación del control quedan los correos de solicitud al operador comercial; para el caso de la venta directa queda la publicación en el portal.  </t>
  </si>
  <si>
    <t xml:space="preserve">El profesional delegado de la Gerencia de comercialización de activos no sociales, cada vez que recibe el resultado de las evaluaciones de los oferentes, presenta ante el comité de negocios del nivel central, con el fin de elegir al mejor oferente. Como evidencia de la aplicación del control queda la carta de aprobación. </t>
  </si>
  <si>
    <t xml:space="preserve">El Director Comercial, en caso de evidenciar algún favorecimiento para la comercialización de un bien, comunicará a las áreas correspondientes, con el fin de que se inicien las acciones disciplinarias y legales a las que haya lugar. Como evidencia de la aplicación del control queda el correo de comunicación. </t>
  </si>
  <si>
    <t xml:space="preserve">Realizar sensibilización acerca el riesgo de corrupción asociado al proceso </t>
  </si>
  <si>
    <t xml:space="preserve">Lavender Castilla </t>
  </si>
  <si>
    <t>RC-GP-2</t>
  </si>
  <si>
    <t>Gestión del Cumplimiento</t>
  </si>
  <si>
    <t>Posibilidad de solicitar o recibir dadivas a nombre propio o de tercero por viabilizar los conceptos y/o lineamientos emitidos en el marco de la gestión de debidas diligencias y/o la atención de denuncias</t>
  </si>
  <si>
    <t>Investigaciones penales o disciplinarias
Pérdida de imagen reputacional y credibilidad institucional</t>
  </si>
  <si>
    <t xml:space="preserve">El funcionario designado del grupo de integridad diariamente revisa el buzón de integridad@saesas.gov.co como único canal interno autorizado de recepción de denuncias, con el fin de garantizar la gestión de las denuncias. Es importante mencionar que no se tiene comunicación directa con el ciudadano denunciante ni los involucrados. Como evidencia de la aplicación del control queda la base de asignación. </t>
  </si>
  <si>
    <t xml:space="preserve">El Jefe de Oficina OIAC cada vez que se elabora un concepto sobre denuncia realiza revisión como segundo punto de control, solicita subsanaciones, aprueba y envía al área correspondiente para su respectivo trámite. Sin evidencia por confidencialidad. </t>
  </si>
  <si>
    <t>El funcionario designado del grupo de  SARLAFT diariamente revisan el buzón de canaletico@saesas.gov.co como único canal interno autorizado de recepción de solicitud de debidas diligencias, con el fin de garantizar la gestión de las solicitudes, al cual solo tiene acceso el coordinador del grupo y quien designe Es importante mencionar que no se tiene comunicación directa con los terceros solicitantes a vincularse a SAE. Sin evidencia por confidencialidad.  PR-GP-001 Procedimiento debida diligencia</t>
  </si>
  <si>
    <t>El funcionario designado del  proceso de  SARLAFT de la  OIAC cada vez que se elabora un concepto en PDF sobre debida diligencia realiza la revisión como segundo punto de control tanto del concepto, como los soportes de resumen de análisis financiero, consulta de terceros e informe de validación que arroja la herramienta tecnológica. Solicita subsanaciones al funcionario de OIAC en caso que se requiera, aprueba y envía al área solicitante para su respectivo trámite. Sin evidencia por confidencialidad.</t>
  </si>
  <si>
    <t>Realizar la actualización de la documentación de los procesos.</t>
  </si>
  <si>
    <t>OIAC</t>
  </si>
  <si>
    <t>RC-SEO-1</t>
  </si>
  <si>
    <t>Seguimiento y Evaluación Organizacional</t>
  </si>
  <si>
    <t>Posibilidad de recibir o solicitar cualquier dádiva o beneficio a nombre propio o de terceros, con el fin de manipular o direccionar información procesada o generada en el marco de la actividad de la auditoría interna.</t>
  </si>
  <si>
    <t xml:space="preserve">Relacionamiento personal de los auditores con los auditados
</t>
  </si>
  <si>
    <t xml:space="preserve">
El Jefe de la Oficina de Control Interno previo a la auditoria, revisa el formato F-EC1-148 Plan de Auditoría del proceso objeto de ser auditado con el fin de verificar el cumplimiento del enfoque dado por el equipo auditor en el objetivo de la auditoría, la metodología y el alcance. En caso de identificar alguna inconformidad en el Plan de Auditoría se solicita al equipo auditor realizar los ajustes pertinentes. Procedimiento: P-EC2-156 "Procedimiento para ejecutar auditorías internas". Como Evidencia de la aplicación del control queda el plan aprobado y la presentación del mismo a la unidad auditable. </t>
  </si>
  <si>
    <t>El Jefe de la Oficina de Control Interno cada vez que se realice un proceso de evaluación, valida que todos los auditores de la oficina no tengan conflictos de interés con los auditados y se comprometan a cumplir el código de ética en el ejercicio a realizar en cada auditoría interna. Como evidencia de la aplicación del control queda la suscripción del documento "Formato: FO-SE-006 Manifestación Expresa de Aceptación Individual de los Auditores - CO-SE-001 Código de Ética y Profesionalismo de la Oficina de Control Interno).</t>
  </si>
  <si>
    <t xml:space="preserve">El Jefe de la Oficina de Control Interno,  cada vez que se realice un proceso de evaluación, revisa, verifica y supervisa el cumplimiento de las etapas  de la auditoría y que el objetivo propuesto se esté cumpliendo y que la muestra seleccionada se haya realizado de manera aleatoria, con el fin de  que la auditoria se cumpla con los criterios establecidos con lo planeado inicialmente. Procedimiento: P-EC2-156 Procedimiento para ejecutar auditorías internas. Sin Evidencia (cambios de líder). </t>
  </si>
  <si>
    <t>El Jefe de la Oficina de Control Interno cada vez que se realice un proceso de evaluación, verifica que los lideres de proceso auditados realicen la evaluación de auditores internos y los resultados del mismo producto de las auditorías realizadas. En caso de encontrar alguna desviación, procede a implementar las acciones de mejora a las que haya lugar. Como evidencia de la aplicación del control quedan los formatos de evaluación de auditores internos remitido por los lideres de las unidades auditables. P-EC2-156 "Procedimiento para ejecutar auditorías internas".</t>
  </si>
  <si>
    <t>El Jefe de la Oficina de Control Interno en caso de presentarse una situación de manipulación o direccionamiento de la información procesada para beneficio de un tercero, da traslado por competencia a la Dirección de Talento Humano - Asuntos Disciplinarios y se presenta al CICCI con el fin de que se tomen las medidas a lugar. Procedimiento: "CO-SE-001 Código de Ética y Profesionalismo de la Oficina de Control Interno" y "ET-SE-001 Estatuto de Auditoría Interna". Como evidencia quedaría la comunicación de traslado con los documentos soporte a la Dirección de Talento Humano.</t>
  </si>
  <si>
    <t>Ajustar la información documentada del proceso de acuerdo con la resolución 114 y 300 de 2024 y las normas internacionales de auditoría.</t>
  </si>
  <si>
    <t>Equipo Oficina de Control Interno</t>
  </si>
  <si>
    <t xml:space="preserve">DTC-RC-DT-1 </t>
  </si>
  <si>
    <t xml:space="preserve">Posibilidad de recibir o solicitar  dádiva a beneficio a nombre propio o de terceros con el fin de priorizar la entrega o democratización de bienes a entidades públicas o sin ánimo de lucro, debido a fallas en el seguimiento de las asignaciones </t>
  </si>
  <si>
    <t xml:space="preserve"> Fallas en el seguimiento de las asignaciones</t>
  </si>
  <si>
    <t xml:space="preserve">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
</t>
  </si>
  <si>
    <t xml:space="preserve">El funcionario delegado de la Dirección Territorial Caribe, diariamente realiza el seguimiento a la base de solicitudes y asignaciones con el fin de garantizar que se realice la atención de requerimientos por orden de llegada, disponibilidad del activo y cumplimiento de requisitos. Como evidencia de la aplicación del control queda la base de Solicitudes. </t>
  </si>
  <si>
    <t xml:space="preserve">El funcionario delegado de la Dirección Territorial Caribe, cada vez que se recibe una solicitud de democratización, solicita la documentación requerida y la remite a la dirección de Proyectos Especiales con el fin de ser valorada. Cómo evidencia de la aplicación del control queda la matriz ESAL Caribe. </t>
  </si>
  <si>
    <t>El funcionario delegado de la Dirección Territorial Caribe, en caso de evidencia que se materialice el riesgo, notifica al Director Territorial con el fin de iniciar las acciones necesarias frente al funcionario. Como evidencia de la aplicación del control queda el correo de notificación.</t>
  </si>
  <si>
    <t>DTC-RC-DT-2</t>
  </si>
  <si>
    <t>Posibilidad de recibir o solicitar cualquier dádiva o beneficio a nombre propio o de terceros, con el fin de favorecer la suscripción de contratos arrendamiento de un inmueble administrado por la SAE a un tercero que no cumpla con los requisitos exigidos por la entidad.</t>
  </si>
  <si>
    <t>"
Facilitación en la entrega de información falsa por parte de arrendatarios
Contacto con arrendatarios más allá de la relación profesional</t>
  </si>
  <si>
    <t xml:space="preserve">El profesional delegado de la Dirección Territorial caribe cada vez que se presenta un interesado, realiza la verificación del cumplimiento de requisitos con el fin de iniciar el estudio de debida diligencia. Sin Evidencia. </t>
  </si>
  <si>
    <t>El profesional delegado de la Dirección Territorial Caribe  cada vez que se presenta una solicitud, envía a verificación y estudio de debida diligencia, según el resultado de ésta, presenta en comité territorial el caso el cual se somete a aprobación con el fin de celebrar el contrato. Como evidencia queda al acta del comité.</t>
  </si>
  <si>
    <t>El profesional delegado de la Dirección Territorial Caribe  en caso de que se presente la situación de arrendar un bien a una persona que no cumpla con los requisitos, se reversa el negocio en el marco del comité.  Como evidencia queda al acta del comité.</t>
  </si>
  <si>
    <t>DTC-RC-DT-3</t>
  </si>
  <si>
    <t xml:space="preserve">Posibilidad de solicitar o recibir dadiva o beneficio a nombre propio o de terceros con el fin alterar los valores de la negociación de los acuerdos pago, debido a la falta de integridad de los funcionarios. </t>
  </si>
  <si>
    <t>Falta de integridad de los funcionarios.</t>
  </si>
  <si>
    <t>1) Pérdida de imagen reputacional y credibilidad institucional
2) Implicaciones a nivel penal, disciplinario, fiscal o sancionatorio
3) Demandas de la ciudadanía
4)1. Perdida de recursos públicos.</t>
  </si>
  <si>
    <t>El funcionario delegado de la Dirección Territorial Caribe  cada vez que se suscribe un acuerdo pago, se realiza una presentación en power point para el comité regional que se encarga de aprobar el acuerdo de pago. Como evidencia  queda el acta de comité regional.</t>
  </si>
  <si>
    <t>El funcionario delegado de la Dirección Territorial  Caribe cada vez que se suscribe un acuerdo pago, se remite a elaborar la minuta del acuerdo de pago y así mandarlo al arrendatario por medio de correo electrónico. Como Evidencia queda el correo de envío de solicitud de firma y autenticación de minuta.</t>
  </si>
  <si>
    <t>El funcionario delegado de la Dirección Territorial una vez revisada la minuta con firma y autenticacion se remite al Director regional para su firma y envio a Dirección Financiera. Como evidencia queda el correo de envio a la Dirección Financiera.</t>
  </si>
  <si>
    <t>DTC-RC-GC-1</t>
  </si>
  <si>
    <t xml:space="preserve">Posibilidad de recibir o solicitar cualquier dádiva o beneficio a nombre propio o de terceros, con el finde realizar pago de facturas de una obra no ejecutada, debido a fallas por parte del supervisor del contrato. </t>
  </si>
  <si>
    <t xml:space="preserve">El funcionario delegado de la Dirección Territorial, cada vez que se Solicita un servicio al contratista procede a validar el cumplimiento de los servicios prestados en cantidad, precio y tiempo con el fin de garantizar el 100% de los requerimientos estipulados en la prestación del servicio. Como evidencia de la aplicación del control queda la proyección del gasto ejecutado. </t>
  </si>
  <si>
    <t>El funcionario delegado de la Dirección Territorial en caso de evidencia que se materialice el riesgo, notifica al Director Territorial con el fin de iniciar las acciones necesarias frente al funcionario. Como evidencia de la aplicación del control queda el correo de notificación.</t>
  </si>
  <si>
    <t>DTC-RC-DA-1</t>
  </si>
  <si>
    <t xml:space="preserve">Posibilidad de recibir o solicitar cualquier dádiva o beneficio a nombre propio o de terceros, con el fin de evitar una  diligencia de desalojo. </t>
  </si>
  <si>
    <t xml:space="preserve">1.Fuga Información. 
2. No utilizar los canales oficiales de la sea. </t>
  </si>
  <si>
    <t>1. Ocupaciones Irregulares</t>
  </si>
  <si>
    <t>La coordinación del equipo Diagnóstico y alistamiento de la dirección territorial caribe, cada vez que se programa una diligencia de desalojo realiza la asignación de ejecución de la actividad a equipos de trabajo diferentes y alternos con el fin de realizar una segunda validación del proceso y evitar contacto con los entes participantes en la diligencia. Las actas de desalojo.</t>
  </si>
  <si>
    <t>El profesional delegado de la dirección territorial caribe, cada vez que se realiza una diligencia de desalojo garantiza que todas las comunicaciones durante el desarrollo de la diligencia se den a través del líder de la diligencia, con el fin de evitar fuga de información. sin evidencia.</t>
  </si>
  <si>
    <t xml:space="preserve">El profesional delegado de la Dirección Territorial Caribe, en caso de evidenciar la materialización del riesgo, remite comunicación al director territorial con el fin de que se tomen las acciones pertinentes hacia el funcionario. Como evidencia de la implementación del control queda el correo de comunicación.  </t>
  </si>
  <si>
    <t>DTC-RC-DA-2</t>
  </si>
  <si>
    <t>Posibilidad de recibir o solicitar cualquier dádiva o beneficio a nombre propio o de terceros, con el fin de alterar la valoración de los estimados de renta de los bienes inmuebles urbanos y rurales no productivos administrados por la Dirección Territorial.</t>
  </si>
  <si>
    <t>El funcionario delegado de la Dirección Territorial Caribe cada vez que se solicita un estimado de renta, realiza asignación para de elaboración y revisión con los funcionarios del grupo. Como evidencia de la aplicación del control queda la base de estimados de renta.P-DP2-046 Procedimiento de Estimados de Renta.</t>
  </si>
  <si>
    <t>El funcionario delegado de la Dirección Territorial caribe, cada vez que realiza un estimado de renta, solicita la revisión del informe técnico del con el objetivo de verificar que este cumpla con todo lo que está en el procedimiento y en la normatividad legal vigente. Como evidencia de la aplicación del control queda la base de estimados de renta.P-DP2-046 Procedimiento de Estimados de Renta.</t>
  </si>
  <si>
    <t>El funcionario delegado de la Dirección Territorial Caribe mensualmente presenta los estimados de renta elaborados al Comité Regional o remiten al dirección de analítica y valoración según el valor, con el objetivo de que sean aprobados. Como evidencia de la aplicación del control queda la base de estimados de renta.P-DP2-046 Procedimiento de Estimados de Renta.</t>
  </si>
  <si>
    <t>DTC-RC-DA-3</t>
  </si>
  <si>
    <t>Posibilidad de recibir o solicitar cualquier dádiva o beneficio a nombre propio o de terceros, cuando un depositario, arrendatario, cliente o interesado, solicite una reparación ROM  no requerida o acorde  a la necesidad.</t>
  </si>
  <si>
    <t>El funcionario delegado por la Dirección Territorial Caribe cada vez que se recibe una notificación de la o las reparaciones realizadas por parte del arrendatario, otro funcionario diferente al que racializa la visita de inspección inicial realiza verificación de las obras ejecutadas con el fin de evidenciar que estén acorde a lo aprobado. Como evidencia de la aplicación del control queda el Informe Visita de Inspección a Inmuebles.</t>
  </si>
  <si>
    <t>El profesional delegado de la Dirección Territorial Caribe, luego de realizar la visita de inspección y generar la cotización de la reparación, presenta ante comité regional con el fin de ser revisada y aprobada para ejecución, en caso de que la obra supere los 80SMLMV, la debe aprobar el comité territorial y se remite a la dirección de analítica, alistamiento y valoración con el fin de evaluar la ejecución de la obra y probación. Como evidencia de la aplicación del control quedan las actas de aprobación. PR-DA-011 Procedimiento de ROM de Bienes Inmuebles.</t>
  </si>
  <si>
    <t>El funcionario delegado de la Dirección Territorial Caribe en caso de evidenciar que se materialice el riesgo, notifica al director territorial con el fin de que se tomen las acciones necesarias frente a la situación. Como evidencia de la aplicación del control queda el correo de notificación.</t>
  </si>
  <si>
    <t xml:space="preserve">DTO-RC-DT-1 </t>
  </si>
  <si>
    <t xml:space="preserve">1.Fuga Información. 
2. No utilizar los canales oficiales de la sea.
</t>
  </si>
  <si>
    <t xml:space="preserve">El funcionario delegado de la dirección territorial occidente, cada vez que se programa una diligencia de desalojo, deberá comunicar tres días antes acerca de la misma a través de los canales oficiales de comunicación de la SAE , con el fin de evitar fuga de información. Como evidencia queda la base de seguimiento a desalojos. </t>
  </si>
  <si>
    <t xml:space="preserve">El profesional delegado de la dirección territorial occidente, cada vez que se realiza una diligencia de desalojo debe garantizar que todas las comunicaciones durante el desarrollo de la diligencia se den a través de él, con el fin de evitar fuga de información. sin evidencia. </t>
  </si>
  <si>
    <t>DTO-RC-DT-2</t>
  </si>
  <si>
    <t xml:space="preserve">"
Facilitación en la entrega de información falsa por parte de arrendatarios
Contacto con arrendatarios más allá de la relación profesional
</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</si>
  <si>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</si>
  <si>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El profesional delegado de la Dirección Territorial Occidente cada vez que se presenta un interesado, realiza asignación aleatoria del proceso a los funcionarios del GIT. Como evidencia queda el correo enviado.</t>
  </si>
  <si>
    <t xml:space="preserve">El profesional delegado de la Dirección Territorial Occidente cada vez que se presenta un interesado, realiza la verificación del cumplimiento de requisitos con el fin de iniciar el estudio de debida diligencia. Sin Evidencia. </t>
  </si>
  <si>
    <t>El profesional delegado de la Dirección Territorial Occidente cada vez que se presenta una solicitud, envía a verificación y estudio de debida diligencia, según el resultado de ésta, presenta en comité territorial el caso el cual se somete a aprobación con el fin de celebrar el contrato. Como evidencia queda al acta del comité.</t>
  </si>
  <si>
    <t>El profesional delegado de la Dirección Territorial Occidente en caso de que se presente la situación de arrendar un bien a una persona que no cumpla con los requisitos, se reversa el negocio en el marco del comité.  Como evidencia queda al acta del comité.</t>
  </si>
  <si>
    <t>Enviar aportes a la modificación de documentos relacionados con el proceso</t>
  </si>
  <si>
    <t xml:space="preserve">Sneider Giraldo Londoño </t>
  </si>
  <si>
    <t>Finalizado</t>
  </si>
  <si>
    <t>DTO-RC-DT-3</t>
  </si>
  <si>
    <t xml:space="preserve"> Fallas en el seguimiento de las asignaciones.</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</si>
  <si>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</si>
  <si>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El funcionario delegado de la Dirección Territorial Occidente, diariamente realiza el seguimiento a la base de solicitudes y asignaciones con el fin de garantizar que se realice la atención de requerimientos por orden de llegada, disponibilidad del activo y cumplimiento de requisitos. Como evidencia de la aplicación del control queda la base de solicitudes.</t>
  </si>
  <si>
    <t>El funcionario delegado de la Dirección Territorial Occidente, cada vez que se va a realizar la asignación o entrega de un bien, presenta ante el comité el proyecto del solicitante con el fin de ser aprobado. Como evidencia de la aplicación del control queda el acta del comité. PR-DT-012_V03_Procedimiento_Suscripción_de_Contrato_de_Comodato</t>
  </si>
  <si>
    <t>El funcionario delegado de la Dirección Territorial Occidente, en caso de evidencia que se materialice el riesgo, notifica al Director Territorial con el fin de iniciar las acciones necesarias frente al funcionario. Como evidencia de la aplicación del control queda el correo de notificación.</t>
  </si>
  <si>
    <t>DTO-RC-DT-4</t>
  </si>
  <si>
    <t>1.Fuga Información.</t>
  </si>
  <si>
    <t xml:space="preserve">1. Ocupaciones Irregulares
"
</t>
  </si>
  <si>
    <t>El Coordinador de Diagnóstico y alistamiento de dirección territorial occidente, quincenalmente realiza seguimiento a las actividades y funciones desarrolladas con los miembros del equipo con el fin de identificar fugas de información y desviación a los procesos. Como evidencia de la aplicación del control queda la base de visitas y retomas.</t>
  </si>
  <si>
    <t>DTO-RC-DT-5</t>
  </si>
  <si>
    <t>Posibilidad de solicitar o recibir dadiva o beneficio a nombre propio o de terceros con el fin alterar los valores de la negociación de los acuerdos pago, debido a la falta de integridad de los funcionarios.</t>
  </si>
  <si>
    <t>1. Perdida de recursos públicos.</t>
  </si>
  <si>
    <t>El funcionario delegado de la Dirección Territorial Occidente  cada vez que se suscribe un acuerdo pago, diligenciar el formato F-DT1-238 Formato Acuerdo de Pago, con el fin de registrar los valores y condiciones del acuerdo. Como evidencia queda el formato. PR-GF-016 Procedimiento Recaudo De Cartera Para Contratos De Arrendamiento De Bienes Inmuebles No Sociales</t>
  </si>
  <si>
    <t xml:space="preserve">El funcionario delegado de la Dirección Territorial Occidente  cada vez que se suscribe un acuerdo pago, remite a la dirección financiera el acuerdo de pago, con el fin de solicitar aprobación y emisión del cupón de pago. Como Evidencia queda el correo de solicitud. </t>
  </si>
  <si>
    <t>El funcionario delegado de la Dirección Territorial Occidente, en caso de evidenciar que se alteró el valor de la negociación, reporta al Director Territorial con el fin de que se inicien las acciones correspondientes para el funcionario. Como evidencia queda el correo de notificación al Director Territorial.</t>
  </si>
  <si>
    <t>DTO-RC-GC-1</t>
  </si>
  <si>
    <t xml:space="preserve"> Fallas por parte del supervisor del contrato. </t>
  </si>
  <si>
    <t xml:space="preserve">El funcionario delegado de la Dirección Territorial, cada vez que se cotiza una obra con el contrato ROM, realiza la visita al inmueble con el fin de verificar las reparaciones a realizar. Como evidencia de la aplicación del control queda la base de seguimiento del contrato. PR-GC-001 Procedimiento supervisión, interventoría liquidación y terminación anticipada de contratos. </t>
  </si>
  <si>
    <t xml:space="preserve">El funcionario delegado de la Dirección Territorial, cada vez que se finaliza una obra, realiza la visita al inmueble con el fin de verificar la correcta ejecución de las mismas y recibir a satisfacción. Como evidencia queda el acta de entrega. PR-GC-001 Procedimiento supervisión, interventoría liquidación y terminación anticipada de contratos. </t>
  </si>
  <si>
    <t>DTO-RC-DA-1</t>
  </si>
  <si>
    <t>El funcionario delegado de la Dirección Territorial Occidente cada vez que se solicita un estimado de renta, realiza asignación de elaboración y revisión con los funcionarios del GIT de Diagnóstico y Alistamiento de la DT a través de una reunión virtual o presencial. Como evidencia queda el acta de asignación y compromisos.</t>
  </si>
  <si>
    <t>El funcionario delegado de la Dirección Territorial Occidente en caso de que el estimado de renta supere el monto de aprobación autorizado para la territorial, remite a la dirección de analítica, valoración y alistamiento con el fin de realizar la validación y firma. Como evidencia queda la base de estimados de renta.</t>
  </si>
  <si>
    <t>El funcionario delegado de la Dirección Territorial Occidente en caso de que le sea ofrecido dinero por alterar la valoración de los estimados de renta informa lo sucedido y lo incluye en el informe de visita para que sea asignado a otro funcionario la solicitud de estimado de renta. Como evidencia queda el informe de la visita.</t>
  </si>
  <si>
    <t>Gestionar mesa de trabajo con la Dirección de Analítica para la revisión y actualización de estimados de renta</t>
  </si>
  <si>
    <t>Dirección Territorial Occidente</t>
  </si>
  <si>
    <t>DTO-RC-DA-2</t>
  </si>
  <si>
    <t>Posibilidad de recibir o solicitar cualquier dádiva o beneficio a nombre propio o de terceros, cuando un depositario, arrendatario, cliente o interesado, solicite una reparación ROM  no requerida o acorde  a la necesidad</t>
  </si>
  <si>
    <t>El funcionario delegado por la Dirección Territorial Occidente, cada vez que se recibe una notificación de la o las reparaciones realizadas por parte del arrendatario, por afectaciones al inmueble en escenarios de urgencia manifiesta, solicita la documentación requerida para iniciar el proceso y realiza el respectivo análisis del caso con el fin de evidenciar si se da cumplimiento de los requisitos o no.  evidencia queda la base de solicitudes ROM.PR-DA-011 Procedimiento de ROM de Bienes Inmuebles.</t>
  </si>
  <si>
    <t>El funcionario delegado por la Dirección Territorial Occidente, luego de recopilar toda la información y documentación requerida para realizar el descuento de cruce contra canon, presenta ante el comité territorial el caso, con el fin de ser aprobado o denegado. Como evidencia queda el acta del comité aprobada por los miembros del comité. PR-DA-011 Procedimiento de ROM de Bienes Inmuebles</t>
  </si>
  <si>
    <t xml:space="preserve">El funcionario delegado de la Dirección Territorial Occidente en caso de evidenciar que se materialice el riesgo, notifica al Director Territorial con el fin de que se tomen las acciones necesarias. Como evidencia de la aplicación del control queda el correo de notificación. </t>
  </si>
  <si>
    <t>DTS-RC-DA-1</t>
  </si>
  <si>
    <t>Falencias en la revisión de diagnósticos de intervención de inmuebles</t>
  </si>
  <si>
    <t>El funcionario delegado de la Dirección Territorial Sur  para la revisión del informe visita de inspección del inmueble,  verifica cada vez que se requiera el informe  de visita  con el objetivo de validar que la información registrada sea coherente con la visualizada en el sistema y  cuente con los criterios mínimos para su aprobación . Como evidencia queda base de reporte visitas. PR-DA-011 Procedimiento de ROM de Bienes Inmuebles</t>
  </si>
  <si>
    <t>DTS-RC-DA-2</t>
  </si>
  <si>
    <t>Posibilidad de recibir o solicitar cualquier dádiva o beneficio a nombre propio o de terceros, cuando un depositario, arrendatario, cliente o interesado, solicite una reparación Rom  no requerida o acorde  a la necesidad, debido la no  revisión técnica del estado físico del activo.</t>
  </si>
  <si>
    <t>"El funcionario delegado de la Dirección Territorial Sur, cada vez que se requiera una aprobación técnica de Rom,  verifica que el formato de la  solicitud cuente con toda la información básica necesaria y que ésta sea coherente constructivamente con la solicitud y necesidad generada comparando los precios y cantidades de obra en campo y con el listado de precios  actividades de la territorial.  PR-DA-011 Procedimiento de ROM de Bienes Inmuebles
Como evidencia queda Actas."</t>
  </si>
  <si>
    <t>El funcionario delegado de la Dirección Territorial Sur,  presenta cada vez que se requiera los casos para aprobación ante el comité regional  y La Dirección de Analítica con el fin que se autorice la ejecución de las obras de conformidad de las facultades de cada una de las Direcciones . Como evidencia queda acta de comité de aprobación, e informe de solicitud de reparaciones. PR-DA-011 Procedimiento de ROM de Bienes Inmuebles</t>
  </si>
  <si>
    <t>El funcionario delegado de la Dirección Territorial Sur, valida cada vez que se presenta una solicitud de cruce contra canon valida en el campo las actividades requeridas y los precios con el listado de precios de la territorial con el fin de evitar cobros excesivos o arreglos inexistentes. Como evidencia queda actas de comité.  PR-DA-011 Procedimiento de ROM de Bienes Inmuebles</t>
  </si>
  <si>
    <t>DTS-RC-DA-3</t>
  </si>
  <si>
    <t>1) Pérdida de imagen reputacional y credibilidad institucional
2) Implicaciones a nivel penal, disciplinario, fiscal o sancionatorio
3) Disminución en posibles ganancias por productividad del activo</t>
  </si>
  <si>
    <t>El funcionario delegado de la Dirección Territorial Sur, cada vez que se requiera realizar un estimado de renta se  procederá a realizar visita de inspección técnica del inmueble con el fin de levantar la información relevante para el estimado de renta. Sin evidencia trazabilidad de la visita en sistema sigma. P-DP2-046 Procedimiento de Estimados de Renta</t>
  </si>
  <si>
    <t>El funcionario delegado de la Dirección Territorial Sur, cada vez que se requiera una aprobación  de un estimado de renta el formato  debe contar con la firma de revisión de un funcionario diferente al que lo elaboro. El funcionario debe contar con el aval (RAA). Sin evidencia la trazabilidad del formato queda montado en el aplicativo sigma.</t>
  </si>
  <si>
    <t>DTS-RC-DA- 4</t>
  </si>
  <si>
    <t>El funcionario delegado de Alistamiento verifica cada vez que se requiera un  activo postulado para donación, la ubicación, revisa la información catastral disponible con el fin de que se   cumpla con los parámetros que requiere la organización solicitante, valida   en cuanto a los usos permitidos del bien sujeto a destinación a fin de emitir la Viabilidad Técnica para su Donación. Como evidencia queda Base ubicación KMZ</t>
  </si>
  <si>
    <t>El funcionario delegado de Alistamiento realiza cada vez que se requiera un  activo postulado para donación  el estimado de renta del inmueble, determinando el canon de arrendamiento, y registrando las ofertas que se han generado. Procede a revisión y firma para aprobación en los casos que aplique, ya que los superiores a 4.8 SMLV se envían Dirección General. Base estimados de Renta</t>
  </si>
  <si>
    <t>DTS-RC-GC-1</t>
  </si>
  <si>
    <t>Posibilidad de recibir o solicitar cualquier dádiva o beneficio a nombre propio o de terceros, con el fin de realizar pago de facturas de una obra no ejecutada, debido a fallas por parte del supervisor del contrato.</t>
  </si>
  <si>
    <t>Intervención por parte de un ente de control u otro ente regulador
Afectación en el nivel de satisfacción de usuarios internos y/o externos
Demandas</t>
  </si>
  <si>
    <t>El funcionario delegado de la Dirección Territorial, cada vez que se cotiza una obra con el contrato ROM, realiza la visita al inmueble con el fin de verificar las reparaciones a realizar. Control sin evidencia</t>
  </si>
  <si>
    <t>El funcionario delegado de la Dirección Territorial, cada vez que se finaliza una obra, realiza la visita al inmueble con el fin de verificar la correcta ejecución de las mismas y recibir a satisfacción. Como evidencia queda el acta de entrega. PR-GC-001 Procedimiento supervisión, interventoría liquidación y terminación anticipada de contratos.</t>
  </si>
  <si>
    <t>El funcionario delegado de la Dirección Territorial, en caso de evidencia que se materialice el riesgo, notifica al Director Territorial con el fin de iniciar las acciones necesarias frente al funcionario. Como evidencia de la aplicación del control queda el correo de notificación.</t>
  </si>
  <si>
    <t>DTS-RC-DT-1</t>
  </si>
  <si>
    <t>Posibilidad de solicitar o recibir dadiva o beneficio a nombre propio o de terceros con el fin alterar los valores en los cupones expedidos para recaudo.</t>
  </si>
  <si>
    <t xml:space="preserve">Falta de mecanismos de control en la validación de los cupones de pago
Facilitación en la entrega de información falsa por parte de arrendatarios
Contacto con arrendatarios más allá de la relación profesional </t>
  </si>
  <si>
    <t>1) Pérdida de imagen reputacional y credibilidad institucional
2) Favorecimiento del Sistema de Valor del Narcotráfico
3) Implicaciones a nivel penal, disciplinario, fiscal o sancionatorio</t>
  </si>
  <si>
    <t xml:space="preserve">El funcionario encargado de la dirección territorial Sur en caso de evidencia que se requiere la elaboración de un cupón o nota crédito solicita autorización a la Dirección financiera. Como evidencia queda el correo de la solicitud </t>
  </si>
  <si>
    <t>DTS-RC-DT-2</t>
  </si>
  <si>
    <t xml:space="preserve">Fallas en el seguimiento de las asignaciones </t>
  </si>
  <si>
    <t>El funcionario delegado de la Dirección Territorial sur, semanalmente realiza el seguimiento a la base de solicitudes y asignaciones con el fin de garantizar que se realice la atención de requerimientos por orden de llegada, disponibilidad del activo y cumplimiento de requisitos. Como evidencia de la aplicación del control queda la base de solicitudes.</t>
  </si>
  <si>
    <t>El funcionario delegado de la Dirección Territorial sur, cada vez que se va a realizar la asignación o entrega de un bien, presenta ante el comité el proyecto del solicitante con el fin de ser aprobado. Como evidencia de la aplicación del control queda el acta del comité. PR-DT-012_V03_Procedimiento_Suscripción_de_Contrato_de_Comodato</t>
  </si>
  <si>
    <t>El funcionario delegado de la Dirección Territorial sur, en caso de evidencia que se materialice el riesgo, notifica al Director Territorial con el fin de iniciar las acciones necesarias frente al funcionario. Como evidencia de la aplicación del control queda el correo de notificación.</t>
  </si>
  <si>
    <t>DTS-RC-DT-3</t>
  </si>
  <si>
    <t>1.Fuga Información.
2. No utilizar los canales oficiales de la sea.</t>
  </si>
  <si>
    <t>El funcionario delegado de la dirección territorial sur de manera mensual presenta ante el comité territorial la programación de las diligencias de desalojo a realizar el mes con el objetivo de que estas sean aprobadas y le sean asignados a uno de los funcionarios para su ejecución. Como evidencia queda el acta del comité territorial</t>
  </si>
  <si>
    <t xml:space="preserve">El funcionario delegado de la dirección territorial sur, cada vez que se programa una diligencia de desalojo, deberá comunicar acerca de la misma a través de los canales oficiales de comunicación de la SAE. Como evidencia quedan los oficios de notificación. </t>
  </si>
  <si>
    <t>El profesional delegado de la dirección territorial sur, cada vez que se realiza una diligencia de desalojo realiza envío de las comunicaciones para el desarrollo de la diligencia a los ocupantes y las autoridades que van a acompañar la diligencia con el fin de, al primero informar que se va a realizar la diligencia de desalojo y al segundo para que acompañe la diligencia. Como evidencia quedan los oficios remitidos</t>
  </si>
  <si>
    <t>DTS-RC-TI-1</t>
  </si>
  <si>
    <t>No se tengan delimitados los permisos de usuarios en las plataformas tecnológicas
Deficiencia en los módulos de auditoría de los sistemas de información.
Existencia de vulnerabilidades de seguridad de la información en los sistemas de información
Daños o fallas en los sistemas de información</t>
  </si>
  <si>
    <t>El Profesional y/o técnico delegado de la Dirección Territorial Sur en caso de que le sea ofrecido dinero por información confidencial de la entidad, procede inmediatamente a realizar el reporte al jefe directo vía correo electrónico. Como evidencia queda el correo remitido.</t>
  </si>
  <si>
    <t xml:space="preserve">DTCO-RC-DT-1 </t>
  </si>
  <si>
    <t>Posibilidad de recibir o solicitar cualquier dádiva o beneficio a nombre propio o de terceros, con el fin de asignar un bien para su disposición o administración temporal sin el cumplimiento de los requisitos de ley y la normatividad definida.</t>
  </si>
  <si>
    <t xml:space="preserve">Falta de mecanismos de control en la asignación de custodios y/o conserjes cuando el activo lo requiera según su nivel de riesgo
Facilitación en la entrega de información falsa por parte de arrendatarios
Contacto con arrendatarios más allá de la relación profesional </t>
  </si>
  <si>
    <t>El profesional delegado de la Dirección Centro Oriente cada vez que se recibe la solicitud de disposición o administración temporal de un activo, remiten a la OIAC el estudio respectivo para la emisión de la viabilidad financiera y reputacional para saber si el contrato es procedente. Como evidencia queda la comunicación por correo electrónico y base de datos de debida diligencia.</t>
  </si>
  <si>
    <t>El profesional delegado de la Dirección Centro Oriente cada vez que se da la respuesta de la no viabilidad comunica al interesado la negativa y diligencia de una base de datos el cierre del caso. Como evidencia queda la base de seguimiento de solicitudes.</t>
  </si>
  <si>
    <t>DTCO-RC-DT-2</t>
  </si>
  <si>
    <t>Posibilidad de recibir o solicitar cualquier dadiva o beneficio a nombre propio de terceros con el fin de facilitar o permitir operaciones con fines delictivos de lavado de activos financiamiento a grupos terroristas o de operaciones ilegales en la comercialización de activos administrados por la SAE.</t>
  </si>
  <si>
    <t xml:space="preserve">No conocer los potenciales compradores con los que se realizarán los acuerdos comerciales de compra de activos
Alterar información del origen de los recursos de los compradores con el que harán el pago de los bienes
Relacionamiento personal o comercial de los participantes con profesionales involucrados en el proceso de comercialización de activos
Debilidades en la detección de operaciones sospechosas de corrupción </t>
  </si>
  <si>
    <t>1) Pérdida de imagen reputacional y credibilidad institucional
2) Favorecimiento del Sistema de Valor del Narcotráfico
3) Implicaciones a nivel penal, disciplinario, fiscal o sancionatorio
4) Demandas de la ciudadanía</t>
  </si>
  <si>
    <t xml:space="preserve">El profesional delegado de la territorial Centro Oriente cada vez que se requiera publicar los activos en proceso se verifica la probabilidad de cargar la información en estas bases que no cuente con información sensible o con restricciones por la fiscalía. Como evidencia queda la base de publicados.  </t>
  </si>
  <si>
    <t>EL profesional delegado de la Dirección Centro Oriente cada vez que se recibe la solicitud de disposición o administración temporal de un activo, remiten a la OIAC el estudio respectivo para la emisión de la viabilidad financiera y reputacional para saber si el contrato es procedente. Como evidencia queda la comunicación por correo electrónico y base de datos de debida diligencia.</t>
  </si>
  <si>
    <t>DTCO-RC-DT-3</t>
  </si>
  <si>
    <t>Posibilidad de recibir o solicitar cualquier dádiva o beneficio a nombre propio o de terceros, con el fin de alterar la valoración de los estimados de renta de los bienes inmuebles urbanos administrados por la Dirección Territorial.</t>
  </si>
  <si>
    <t xml:space="preserve"> El funcionario delegado de la Dirección Territorial Centro Oriente cada vez que realza un estimado de renta presenta al comité territorial con el fin de que se realice la revisión, aprobación y firma según los monto establecidos para la territorial. Como evidencia queda la base de seguimiento del comité.</t>
  </si>
  <si>
    <t xml:space="preserve"> El funcionario delegado de la Dirección Territorial Centro Oriente semanalmente presenta ante el comité Territorial los estimados de renta para aprobación garantizando que se cumpla con la metodología de estimación de renta y que el funcionario que ejecuto la actividad cuente con el Registro Abierto de Avaluadores (RAA). Como evidencia queda la base de estimados de renta.</t>
  </si>
  <si>
    <t xml:space="preserve"> El funcionario delegado de la Dirección Territorial Centro Oriente en caso de que e estimado de renta supere el monto de aprobación autorizado para la territorial remite a la dirección de analítica, valoración y alistamiento con el fin de realizar la validación y firma. Como evidencia queda la base de estimados de renta.</t>
  </si>
  <si>
    <t>DTCO-RC-DT-4</t>
  </si>
  <si>
    <t>Más de 1 vez al año</t>
  </si>
  <si>
    <t>El profesional de la Dirección Territorial Centro Oriente, verifica la ejecución de las Reparaciones, Obras y Mantenimientos de acuerdo con los plazos establecidos en las órdenes de servicio con el proveedor en la matriz de Excel "CONTROL ROM" de la Dirección Territorial</t>
  </si>
  <si>
    <t>DTCO-RC-DT-5</t>
  </si>
  <si>
    <t>Posibilidad de recibir o solicitar cualquier dádiva o beneficio a nombre propio o de terceros, con el fin de evitar una  diligencia de desalojo.</t>
  </si>
  <si>
    <t>El funcionario delegado de la dirección territorial Centro Oriente, cada vez que se programa una diligencia de desalojo, deberá comunicar acerca de la misma a través de los canales oficiales de comunicación de la SAE. Como evidencia quedan la matriz de seguimiento de desalojos. Procedimiento: - "Ejecución de funciones de policías administrativa".</t>
  </si>
  <si>
    <t>El profesional delegado de la Dirección Territorial Centro Oriente, cada vez que se realiza una diligencia de desalojo debe garantizar que todas las comunicaciones durante el desarrollo de la diligencia se den a través de el, con el fin de evitar fuga de información. Como evidencia quedaría el acta del Comité Territorial de Negocios.</t>
  </si>
  <si>
    <t>El Comité territorial de Negocios de la Territorial Centro Oriente cada vez que sesiona valida la escogencia, prioridad y disposiciones operativas para dar el listado de activos inmuebles a desalojar con el fin de ejecutar el proceso de desalojo. Como evidencia quedaría el acta del Comité Territorial de Negocios. Procedimiento: PR-DA-001 Procedimiento Ejercicio De La Función De Policía Administrativa Para La Recuperación De Activos".</t>
  </si>
  <si>
    <t>DTCO-RC-DT-6</t>
  </si>
  <si>
    <t>El funcionario delegado de la Dirección Territorial Centro Oriente, diariamente realiza el seguimiento a la base de solicitudes y asignaciones con el fin de garantizar que se realice la atención de requerimientos por orden de llegada, disponibilidad del activo y cumplimiento de requisitos. Como evidencia de la aplicación del control queda la base de solicitudes.</t>
  </si>
  <si>
    <r>
      <t>El funcionario delegado de la Dirección Territorial Centro Oriente, cada vez que se va a realizar la asignación o entrega de un bien, presenta ante el comité territorial y el comité  de negocios de nivel central el proyecto del solicitante con el fin de ser aprobado. Como evidencia de la aplicación del control quedan las actas de los comités.</t>
    </r>
    <r>
      <rPr>
        <sz val="10"/>
        <rFont val="Arial"/>
      </rPr>
      <t xml:space="preserve"> PR-DT-012_V03_Procedimiento_Suscripción_de_Contrato_de_Comodato</t>
    </r>
  </si>
  <si>
    <t>El funcionario delegado de la Dirección Territorial Centro Oriente, en caso de evidencia que se materialice el riesgo, notifica al Director Territorial. OIAC, Talento Humano  con el fin de iniciar las acciones necesarias frente al funcionario. Como evidencia de la aplicación del control queda memorando de reporte.</t>
  </si>
  <si>
    <t>DTCO-RC-DT-7</t>
  </si>
  <si>
    <t xml:space="preserve">Facilitación en la entrega de información falsa por parte de arrendatarios
Contacto con arrendatarios más allá de la relación profesional </t>
  </si>
  <si>
    <t>1) Pérdida de imagen reputacional y credibilidad institucional
2) Favorecimiento del Sistema de Valor del Narcotráfico
3) Implicaciones a nivel penal, disciplinario, fiscal o sancionatorio</t>
  </si>
  <si>
    <t>El profesional delegado de la Dirección Territorial Centro Oriente cada vez que se presenta un interesado, realiza asignación aleatoria del proceso a los funcionarios del GIT. Como evidencia base de seguimiento.</t>
  </si>
  <si>
    <t xml:space="preserve">El profesional delegado de la Dirección Territorial Centro Oriente, cada vez que se presenta una petición al acceso de arrendamiento, realiza una validación de requisitos mínimos de documentación, con el fin de iniciar el estudio de debida diligencia. Sin Evidencia. </t>
  </si>
  <si>
    <t xml:space="preserve">El profesional delegado de la Dirección Territorial Oriente, una vez recibida el resultado de estudio de debida diligencia por parte de la OIAC, según el resultado de ésta, se presenta en comité territorial el caso el cual se somete a discusión, con el fin de aprobar o no el negocio jurídico. Como evidencia queda al acta del comité. </t>
  </si>
  <si>
    <t>El profesional delegado de la Dirección Territorial Centro Oriente  en caso de que se presente la situación de arrendar un bien a una persona que no cumpla con los requisitos, se reversa el negocio en el marco del comité.  Como evidencia queda al acta del comité.</t>
  </si>
  <si>
    <t>DTCO-RC-DT-8</t>
  </si>
  <si>
    <t>El funcionario delegado de la Dirección Territorial Centro Oriente, quincenalmente realiza seguimiento a las actividades y funciones desarrolladas con los miembros del equipo de Diagnóstico y Alistamiento con el fin de identificar fugas de información y desviación a los procesos. Como evidencia listas asistencia.</t>
  </si>
  <si>
    <t>El funcionario delegado de la Dirección Territorial Centro Oriente, quincenalmente realiza seguimiento a las actividades y funciones desarrolladas con los miembros del equipo de Democratización activos con el fin de identificar fugas de información y desviación a los procesos. Como evidencia listas asistencia.</t>
  </si>
  <si>
    <t>DTCO-RC-GC-1</t>
  </si>
  <si>
    <t xml:space="preserve">Fallas por parte del supervisor del contrato. </t>
  </si>
  <si>
    <t>1) Pérdida de imagen reputacional y credibilidad institucional
2) Implicaciones a nivel penal, disciplinario, fiscal o sancionatorio
3) Disminución en posibles ganancias por productividad del activo</t>
  </si>
  <si>
    <t xml:space="preserve">El funcionario delegado de la Dirección Territorial Centro Oriente, cada vez que se cotiza una obra con el contrato ROM, realiza la visita al inmueble con el fin de verificar las reparaciones a realizar.  Como evidencia de la aplicación del control queda la base de seguimiento del contrato. PR-GC-001 Procedimiento supervisión, interventoría liquidación y terminación anticipada de contratos. </t>
  </si>
  <si>
    <t xml:space="preserve">El funcionario delegado de la Dirección Territorial Centro Oriente, cada vez que se finaliza una obra, realiza la visita al inmueble con el fin de verificar la correcta ejecución de las mismas y recibir a satisfacción. Como evidencia queda el acta de entrega. PR-GC-001 Procedimiento supervisión, interventoría liquidación y terminación anticipada de contratos. </t>
  </si>
  <si>
    <t xml:space="preserve">El director territorial de la Dirección Territorial Centro Oriente, en caso de evidenciar que se materialice el riesgo, notifica a la dirección de Talento humanos y Oficina de Control Interno con el fin de iniciar las acciones necesarias. Como evidencia de la aplicación del control queda el correo de notificación.
</t>
  </si>
  <si>
    <r>
      <rPr>
        <b/>
        <sz val="10"/>
        <rFont val="Arial"/>
      </rPr>
      <t xml:space="preserve">*Nota: </t>
    </r>
    <r>
      <rPr>
        <sz val="10"/>
        <rFont val="Arial"/>
      </rPr>
      <t>La columna Código Riesgo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de Integridad, Anticorrupción y Cumplimiento.</t>
    </r>
  </si>
  <si>
    <t>Suministrar información falsa o alterada como insumo para la toma de decisiones o actuaciones con la intención del beneficio propio o de un tercero</t>
  </si>
  <si>
    <t>Matriz de Calor Inherente</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</si>
  <si>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</si>
  <si>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</si>
  <si>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</si>
  <si>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</si>
  <si>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</si>
  <si>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</si>
  <si>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</si>
  <si>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</si>
  <si>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</si>
  <si>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</si>
  <si>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</si>
  <si>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</si>
  <si>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</si>
  <si>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</si>
  <si>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</si>
  <si>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</si>
  <si>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</si>
  <si>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Improbable</t>
  </si>
  <si>
    <t>Posible</t>
  </si>
  <si>
    <t>La actividad que conlleva el riesgo se ejecuta de 24 a 500 veces por año</t>
  </si>
  <si>
    <t>Probable</t>
  </si>
  <si>
    <t>Casi seguro</t>
  </si>
  <si>
    <t>Tabla Criterios para definir el nivel de impacto</t>
  </si>
  <si>
    <t>Criterios para calificar el impacto</t>
  </si>
  <si>
    <t>Moderado 60%</t>
  </si>
  <si>
    <t>Mayor</t>
  </si>
  <si>
    <t>Mayor 80%</t>
  </si>
  <si>
    <t>No</t>
  </si>
  <si>
    <t>PREGUNTA: SI EL RIESGO DE CORRUPCION SE MATERIALIZA PODRÍA…</t>
  </si>
  <si>
    <t>RESPUESTA</t>
  </si>
  <si>
    <t>Catastrófico</t>
  </si>
  <si>
    <t>Catastrófico 100%</t>
  </si>
  <si>
    <t xml:space="preserve">SI </t>
  </si>
  <si>
    <t>NO</t>
  </si>
  <si>
    <t>¿Afectar al grupo de funcionarios del proceso?</t>
  </si>
  <si>
    <t>x</t>
  </si>
  <si>
    <t>¿Afectar el cumplimiento de metas y objetivos de la dependencia?</t>
  </si>
  <si>
    <t>Afectación_Económica_o_presupuestal</t>
  </si>
  <si>
    <t xml:space="preserve">     Afectación menor a 10 SMLMV .</t>
  </si>
  <si>
    <t xml:space="preserve">     El riesgo afecta la imagen de alguna área de la organización</t>
  </si>
  <si>
    <t>¿Afectar el cumplimiento de misión de la entidad?</t>
  </si>
  <si>
    <t>Pérdida_Reputacional</t>
  </si>
  <si>
    <t xml:space="preserve">     Entre 10 y 50 SMLMV </t>
  </si>
  <si>
    <t xml:space="preserve">     El riesgo afecta la imagen de la entidad internamente, de conocimiento general, nivel interno, de junta dircetiva y accionistas y/o de provedores</t>
  </si>
  <si>
    <t>¿Afectar el cumplimiento de la misión del sector del que pertenece la entidad?</t>
  </si>
  <si>
    <t xml:space="preserve">     Entre 50 y 100 SMLMV </t>
  </si>
  <si>
    <t xml:space="preserve">     El riesgo afecta la imagen de la entidad con algunos usuarios de relevancia frente al logro de los objetivos</t>
  </si>
  <si>
    <t>¿Generar pérdida de confianza de la entidad, afectando su reputación?</t>
  </si>
  <si>
    <t xml:space="preserve">     Entre 100 y 500 SMLMV </t>
  </si>
  <si>
    <t xml:space="preserve">     El riesgo afecta la imagen de de la entidad con efecto publicitario sostenido a nivel de sector administrativo, nivel departamental o municipal</t>
  </si>
  <si>
    <t>¿Generar pérdida de recursos económicos?</t>
  </si>
  <si>
    <t xml:space="preserve">     Mayor a 500 SMLMV </t>
  </si>
  <si>
    <t xml:space="preserve">     El riesgo afecta la imagen de la entidad a nivel nacional, con efecto publicitarios sostenible a nivel país</t>
  </si>
  <si>
    <t>¿Afectar la generación de los productos o la prestación de los servicios?</t>
  </si>
  <si>
    <t>¿Dar lugar al detrimento de calidad de vida de la comunidad por pérdida del bien, servicios o recursos públicos?</t>
  </si>
  <si>
    <t>¿Generar pérdida de la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</si>
  <si>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</si>
  <si>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</si>
  <si>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</si>
  <si>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</si>
  <si>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</si>
  <si>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</si>
  <si>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pérdidas de vidas humanas?</t>
  </si>
  <si>
    <t>¿Afectar imagen regional?</t>
  </si>
  <si>
    <t>¿Afectar la imagen nacional?</t>
  </si>
  <si>
    <t>¿Generar daño ambiental?</t>
  </si>
  <si>
    <r>
      <t xml:space="preserve">Responder afirmativamente de </t>
    </r>
    <r>
      <rPr>
        <b/>
        <sz val="26"/>
        <color theme="1"/>
        <rFont val="Arial"/>
        <family val="2"/>
      </rPr>
      <t>UNA a CINCO</t>
    </r>
    <r>
      <rPr>
        <sz val="26"/>
        <color theme="1"/>
        <rFont val="Arial"/>
        <family val="2"/>
      </rPr>
      <t xml:space="preserve"> preguntas genera un </t>
    </r>
    <r>
      <rPr>
        <b/>
        <sz val="26"/>
        <color theme="1"/>
        <rFont val="Arial"/>
        <family val="2"/>
      </rPr>
      <t>impacto moderado.</t>
    </r>
  </si>
  <si>
    <r>
      <t xml:space="preserve">Responder afirmativamente de </t>
    </r>
    <r>
      <rPr>
        <b/>
        <sz val="26"/>
        <color theme="1"/>
        <rFont val="Arial"/>
        <family val="2"/>
      </rPr>
      <t>SEIS a ONCE</t>
    </r>
    <r>
      <rPr>
        <sz val="26"/>
        <color theme="1"/>
        <rFont val="Arial"/>
        <family val="2"/>
      </rPr>
      <t xml:space="preserve"> preguntas generan un </t>
    </r>
    <r>
      <rPr>
        <b/>
        <sz val="26"/>
        <color theme="1"/>
        <rFont val="Arial"/>
        <family val="2"/>
      </rPr>
      <t>impacto mayor.</t>
    </r>
  </si>
  <si>
    <r>
      <t xml:space="preserve">Responder afirmativamente de </t>
    </r>
    <r>
      <rPr>
        <b/>
        <sz val="26"/>
        <color theme="1"/>
        <rFont val="Arial"/>
        <family val="2"/>
      </rPr>
      <t>DOCE a DIECINUEVE</t>
    </r>
    <r>
      <rPr>
        <sz val="26"/>
        <color theme="1"/>
        <rFont val="Arial"/>
        <family val="2"/>
      </rPr>
      <t xml:space="preserve"> preguntas genera </t>
    </r>
    <r>
      <rPr>
        <b/>
        <sz val="26"/>
        <color theme="1"/>
        <rFont val="Arial"/>
        <family val="2"/>
      </rPr>
      <t>un impacto catastrófico.</t>
    </r>
  </si>
  <si>
    <r>
      <t>Importante:</t>
    </r>
    <r>
      <rPr>
        <sz val="26"/>
        <color theme="1"/>
        <rFont val="Arial"/>
        <family val="2"/>
      </rPr>
      <t xml:space="preserve"> Si la respuesta a la pregunta 16 es afirmativa, el riesgo se considera catastrófico. Por cada riesgo de corrupción identificado, se debe diligenciar una tabla de estas.</t>
    </r>
  </si>
  <si>
    <r>
      <t>MODERADO:</t>
    </r>
    <r>
      <rPr>
        <sz val="26"/>
        <color theme="1"/>
        <rFont val="Arial"/>
        <family val="2"/>
      </rPr>
      <t xml:space="preserve"> Genera medianas consecuencias sobre la entidad.</t>
    </r>
  </si>
  <si>
    <r>
      <t xml:space="preserve">MAYOR: </t>
    </r>
    <r>
      <rPr>
        <sz val="26"/>
        <color theme="1"/>
        <rFont val="Arial"/>
        <family val="2"/>
      </rPr>
      <t>Genera altas consecuencias sobre la entidad.</t>
    </r>
  </si>
  <si>
    <r>
      <t>CATASTRÓFICO:</t>
    </r>
    <r>
      <rPr>
        <sz val="26"/>
        <color theme="1"/>
        <rFont val="Arial"/>
        <family val="2"/>
      </rPr>
      <t xml:space="preserve"> Genera consecuencias desastrosas para la entidad.</t>
    </r>
  </si>
  <si>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</si>
  <si>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</si>
  <si>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</si>
  <si>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</si>
  <si>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</si>
  <si>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</si>
  <si>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</si>
  <si>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</si>
  <si>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</si>
  <si>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</si>
  <si>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</si>
  <si>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</si>
  <si>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</si>
  <si>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</si>
  <si>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</si>
  <si>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</si>
  <si>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</si>
  <si>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</si>
  <si>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</si>
  <si>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</si>
  <si>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</si>
  <si>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</si>
  <si>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</si>
  <si>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No Aplica para los riesgos de corrupción</t>
  </si>
  <si>
    <t>-</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</si>
  <si>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</si>
  <si>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</si>
  <si>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family val="2"/>
      </rPr>
      <t>*</t>
    </r>
    <r>
      <rPr>
        <b/>
        <sz val="12"/>
        <rFont val="Arial"/>
        <family val="2"/>
      </rPr>
      <t>Atributos de</t>
    </r>
    <r>
      <rPr>
        <b/>
        <sz val="12"/>
        <color theme="9" tint="-0.249977111117893"/>
        <rFont val="Arial"/>
        <family val="2"/>
      </rPr>
      <t xml:space="preserve"> </t>
    </r>
    <r>
      <rPr>
        <b/>
        <sz val="12"/>
        <color rgb="FF000000"/>
        <rFont val="Arial"/>
        <family val="2"/>
      </rPr>
      <t>Formalización</t>
    </r>
  </si>
  <si>
    <t>Controles que están documentados en el proceso, ya sea en manuales, procedimientos, flujogramas o cualquier otro documento propio del proceso.</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</si>
  <si>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</si>
  <si>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</si>
  <si>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</si>
  <si>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</si>
  <si>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</si>
  <si>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rFont val="Arial"/>
        <family val="2"/>
      </rPr>
      <t>*Nota 1:</t>
    </r>
    <r>
      <rPr>
        <sz val="12"/>
        <rFont val="Arial"/>
        <family val="2"/>
      </rPr>
      <t xml:space="preserve"> Los atributos de formalización se recogerán de manera informativa, con el fin de conocer el entorno del control y complementar el análisis con elementos cualitativos; éstos no tienen una incidencia directa en su efectividad. </t>
    </r>
  </si>
  <si>
    <t>Económico</t>
  </si>
  <si>
    <t>Evitar</t>
  </si>
  <si>
    <t>Reputacional</t>
  </si>
  <si>
    <t>Reducir (compartir)</t>
  </si>
  <si>
    <t>Económico y Reputacional</t>
  </si>
  <si>
    <t>Plan de accion (solo para la opción reducir)</t>
  </si>
  <si>
    <t>Daños Activos Fisicos</t>
  </si>
  <si>
    <t>Ejecucion y Administracion de procesos</t>
  </si>
  <si>
    <t>Fallas Tecnologicas</t>
  </si>
  <si>
    <t>Fraude Externo</t>
  </si>
  <si>
    <t>Fraude Interno</t>
  </si>
  <si>
    <t>Relaciones Laborales</t>
  </si>
  <si>
    <t>Usuarios, productos y practicas , organizacionales</t>
  </si>
  <si>
    <t>Procesos</t>
  </si>
  <si>
    <t xml:space="preserve">Criterios para definir el nivel de probabilidad </t>
  </si>
  <si>
    <t>Relacionamiento Estratégico y Alianzas Público - Populares</t>
  </si>
  <si>
    <t>Criterios para definir probabilidad</t>
  </si>
  <si>
    <t>Mantenimiento y Soporte de Aplicaciones</t>
  </si>
  <si>
    <t>Registro Sustancial</t>
  </si>
  <si>
    <t>Registro Material</t>
  </si>
  <si>
    <t>Sin registro</t>
  </si>
  <si>
    <t>Reducir</t>
  </si>
  <si>
    <t>Aceptar</t>
  </si>
  <si>
    <t>El profesional delegado de la Dirección Territorial Caribe cada vez que se presenta un interesado, realiza asignación por cada responsable de cada departamento de los cuales la territorial tiene jurisdicción del proceso a los funcionarios del GIT. Como evidencia queda el correo  enviado.</t>
  </si>
  <si>
    <t>GESTIÓN DE CUMPLIMIENTO
FORMATO IDENTIFICACIÓN DE RIESGOS DE CORRUPCIÓN</t>
  </si>
  <si>
    <t>Monitoreo</t>
  </si>
  <si>
    <t>Fecha de monitoreo</t>
  </si>
  <si>
    <t>Fecha de próximo monitoreo</t>
  </si>
  <si>
    <t>Código: FO-GP-002
Versión: 1
Vigencia desde: 24/072024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</si>
</sst>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8" x14ac:knownFonts="1">
    <font>
      <sz val="11"/>
      <color theme="1"/>
      <name val="Calibri"/>
      <family val="2"/>
      <scheme val="minor"/>
    </font>
    <font>
      <sz val="10"/>
      <color rgb="FF000000"/>
      <name val="Arial Narrow"/>
      <family val="2"/>
    </font>
    <font>
      <sz val="10"/>
      <color theme="1"/>
      <name val="Calibri"/>
      <family val="2"/>
      <scheme val="minor"/>
    </font>
    <font>
      <sz val="11"/>
      <color theme="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22"/>
      <color theme="1"/>
      <name val="Arial Narrow"/>
      <family val="2"/>
    </font>
    <font>
      <sz val="11"/>
      <color rgb="FF030303"/>
      <name val="Arial"/>
      <family val="2"/>
    </font>
    <font>
      <sz val="24"/>
      <name val="Arial"/>
      <family val="2"/>
    </font>
    <font>
      <sz val="24"/>
      <color theme="1"/>
      <name val="Arial Narrow"/>
      <family val="2"/>
    </font>
    <font>
      <b/>
      <sz val="24"/>
      <color rgb="FF000000"/>
      <name val="Calibri"/>
      <family val="2"/>
    </font>
    <font>
      <b/>
      <sz val="20"/>
      <color theme="1"/>
      <name val="Calibri"/>
      <family val="2"/>
      <scheme val="minor"/>
    </font>
    <font>
      <sz val="10"/>
      <name val="Arial"/>
      <family val="2"/>
    </font>
    <font>
      <sz val="12"/>
      <name val="Times New Roman"/>
      <family val="1"/>
    </font>
    <font>
      <sz val="11"/>
      <color theme="1"/>
      <name val="Arial"/>
      <family val="2"/>
    </font>
    <font>
      <sz val="11"/>
      <name val="Arial"/>
      <family val="2"/>
    </font>
    <font>
      <b/>
      <sz val="11"/>
      <color theme="1"/>
      <name val="Arial"/>
      <family val="2"/>
    </font>
    <font>
      <sz val="10"/>
      <color theme="1"/>
      <name val="Arial"/>
      <family val="2"/>
    </font>
    <font>
      <b/>
      <sz val="11"/>
      <color theme="0"/>
      <name val="Arial"/>
      <family val="2"/>
    </font>
    <font>
      <b/>
      <sz val="14"/>
      <color rgb="FFFF0000"/>
      <name val="Arial"/>
      <family val="2"/>
    </font>
    <font>
      <b/>
      <sz val="14"/>
      <name val="Arial"/>
      <family val="2"/>
    </font>
    <font>
      <b/>
      <sz val="14"/>
      <color theme="0"/>
      <name val="Arial"/>
      <family val="2"/>
    </font>
    <font>
      <b/>
      <u/>
      <sz val="11"/>
      <name val="Arial"/>
      <family val="2"/>
    </font>
    <font>
      <b/>
      <sz val="11"/>
      <name val="Arial"/>
      <family val="2"/>
    </font>
    <font>
      <b/>
      <sz val="10"/>
      <name val="Arial"/>
      <family val="2"/>
    </font>
    <font>
      <b/>
      <sz val="9"/>
      <name val="Arial"/>
      <family val="2"/>
    </font>
    <font>
      <sz val="9"/>
      <name val="Arial"/>
      <family val="2"/>
    </font>
    <font>
      <b/>
      <sz val="9"/>
      <color rgb="FF4F5321"/>
      <name val="Arial"/>
      <family val="2"/>
    </font>
    <font>
      <b/>
      <sz val="9"/>
      <color theme="9" tint="-0.249977111117893"/>
      <name val="Arial"/>
      <family val="2"/>
    </font>
    <font>
      <b/>
      <sz val="26"/>
      <color theme="1"/>
      <name val="Arial"/>
      <family val="2"/>
    </font>
    <font>
      <sz val="11"/>
      <color theme="0"/>
      <name val="Arial"/>
      <family val="2"/>
    </font>
    <font>
      <sz val="26"/>
      <color rgb="FF000000"/>
      <name val="Arial"/>
      <family val="2"/>
    </font>
    <font>
      <sz val="26"/>
      <color rgb="FFFFFFFF"/>
      <name val="Arial"/>
      <family val="2"/>
    </font>
    <font>
      <sz val="16"/>
      <color rgb="FF000000"/>
      <name val="Arial"/>
      <family val="2"/>
    </font>
    <font>
      <sz val="16"/>
      <color rgb="FFFF0000"/>
      <name val="Arial"/>
      <family val="2"/>
    </font>
    <font>
      <sz val="11"/>
      <color rgb="FFFF0000"/>
      <name val="Arial"/>
      <family val="2"/>
    </font>
    <font>
      <sz val="12"/>
      <color theme="1"/>
      <name val="Arial"/>
      <family val="2"/>
    </font>
    <font>
      <b/>
      <sz val="12"/>
      <color theme="0"/>
      <name val="Arial"/>
      <family val="2"/>
    </font>
    <font>
      <b/>
      <sz val="12"/>
      <color rgb="FF000000"/>
      <name val="Arial"/>
      <family val="2"/>
    </font>
    <font>
      <sz val="12"/>
      <color rgb="FF000000"/>
      <name val="Arial"/>
      <family val="2"/>
    </font>
    <font>
      <b/>
      <sz val="12"/>
      <color theme="9" tint="-0.249977111117893"/>
      <name val="Arial"/>
      <family val="2"/>
    </font>
    <font>
      <b/>
      <sz val="12"/>
      <name val="Arial"/>
      <family val="2"/>
    </font>
    <font>
      <b/>
      <sz val="9"/>
      <color theme="1"/>
      <name val="Arial"/>
      <family val="2"/>
    </font>
    <font>
      <sz val="12"/>
      <name val="Arial"/>
      <family val="2"/>
    </font>
    <font>
      <b/>
      <sz val="24"/>
      <color theme="0"/>
      <name val="Arial"/>
      <family val="2"/>
    </font>
    <font>
      <sz val="26"/>
      <name val="Arial"/>
      <family val="2"/>
    </font>
    <font>
      <b/>
      <sz val="26"/>
      <color theme="0"/>
      <name val="Arial"/>
      <family val="2"/>
    </font>
    <font>
      <sz val="9"/>
      <color theme="1"/>
      <name val="Arial"/>
      <family val="2"/>
    </font>
    <font>
      <b/>
      <sz val="26"/>
      <color rgb="FF000000"/>
      <name val="Arial"/>
      <family val="2"/>
    </font>
    <font>
      <sz val="26"/>
      <color theme="1"/>
      <name val="Calibri"/>
      <family val="2"/>
      <scheme val="minor"/>
    </font>
    <font>
      <sz val="26"/>
      <color theme="1"/>
      <name val="Arial"/>
      <family val="2"/>
    </font>
    <font>
      <sz val="8"/>
      <name val="Calibri"/>
      <family val="2"/>
      <scheme val="minor"/>
    </font>
    <font>
      <b/>
      <sz val="9"/>
      <color rgb="FF6E1978"/>
      <name val="Arial"/>
      <family val="2"/>
    </font>
    <font>
      <sz val="10"/>
      <name val="Arial"/>
    </font>
    <font>
      <sz val="10"/>
      <color theme="1"/>
      <name val="Arial"/>
    </font>
    <font>
      <sz val="10"/>
      <color rgb="FF000000"/>
      <name val="Arial"/>
    </font>
    <font>
      <b/>
      <sz val="10"/>
      <name val="Arial"/>
    </font>
    <font>
      <b/>
      <sz val="10"/>
      <color theme="1"/>
      <name val="Arial"/>
    </font>
    <font>
      <b/>
      <sz val="10"/>
      <color theme="0"/>
      <name val="Arial"/>
    </font>
    <font>
      <b/>
      <sz val="10"/>
      <color rgb="FF000000"/>
      <name val="Arial"/>
    </font>
    <font>
      <sz val="8"/>
      <color theme="1"/>
      <name val="Arial"/>
      <family val="2"/>
    </font>
    <font>
      <b/>
      <sz val="10"/>
      <color theme="0"/>
      <name val="Arial"/>
      <family val="2"/>
    </font>
  </fonts>
  <fills count="19">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rgb="FFFE1978"/>
        <bgColor indexed="64"/>
      </patternFill>
    </fill>
    <fill>
      <patternFill patternType="solid">
        <fgColor rgb="FFB61978"/>
        <bgColor indexed="64"/>
      </patternFill>
    </fill>
    <fill>
      <patternFill patternType="solid">
        <fgColor rgb="FF6E1978"/>
        <bgColor indexed="64"/>
      </patternFill>
    </fill>
    <fill>
      <patternFill patternType="solid">
        <fgColor theme="6" tint="0.79998168889431442"/>
        <bgColor indexed="64"/>
      </patternFill>
    </fill>
    <fill>
      <patternFill patternType="solid">
        <fgColor rgb="FFFFFFFF"/>
        <bgColor rgb="FF000000"/>
      </patternFill>
    </fill>
    <fill>
      <patternFill patternType="solid">
        <fgColor rgb="FF92D050"/>
        <bgColor rgb="FF000000"/>
      </patternFill>
    </fill>
  </fills>
  <borders count="90">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theme="0"/>
      </left>
      <right style="thin">
        <color theme="0"/>
      </right>
      <top style="thin">
        <color theme="0"/>
      </top>
      <bottom style="thin">
        <color theme="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diagonal/>
    </border>
    <border>
      <left style="thin">
        <color rgb="FF6E1978"/>
      </left>
      <right style="thin">
        <color rgb="FF6E1978"/>
      </right>
      <top style="thin">
        <color rgb="FF6E1978"/>
      </top>
      <bottom style="thin">
        <color rgb="FF6E1978"/>
      </bottom>
      <diagonal/>
    </border>
    <border>
      <left style="medium">
        <color rgb="FF6E1978"/>
      </left>
      <right/>
      <top style="medium">
        <color rgb="FF6E1978"/>
      </top>
      <bottom/>
      <diagonal/>
    </border>
    <border>
      <left/>
      <right/>
      <top style="medium">
        <color rgb="FF6E1978"/>
      </top>
      <bottom/>
      <diagonal/>
    </border>
    <border>
      <left style="medium">
        <color rgb="FF6E1978"/>
      </left>
      <right/>
      <top/>
      <bottom style="thin">
        <color theme="0"/>
      </bottom>
      <diagonal/>
    </border>
    <border>
      <left style="medium">
        <color rgb="FF6E1978"/>
      </left>
      <right style="thin">
        <color theme="0"/>
      </right>
      <top style="thin">
        <color theme="0"/>
      </top>
      <bottom style="thin">
        <color theme="0"/>
      </bottom>
      <diagonal/>
    </border>
    <border>
      <left style="medium">
        <color rgb="FF6E1978"/>
      </left>
      <right style="thin">
        <color theme="0"/>
      </right>
      <top style="thin">
        <color theme="0"/>
      </top>
      <bottom/>
      <diagonal/>
    </border>
    <border>
      <left style="medium">
        <color rgb="FF6E1978"/>
      </left>
      <right style="thin">
        <color rgb="FF6E1978"/>
      </right>
      <top style="thin">
        <color rgb="FF6E1978"/>
      </top>
      <bottom style="thin">
        <color rgb="FF6E1978"/>
      </bottom>
      <diagonal/>
    </border>
    <border>
      <left style="thin">
        <color rgb="FF6E1978"/>
      </left>
      <right style="medium">
        <color rgb="FF6E1978"/>
      </right>
      <top style="thin">
        <color rgb="FF6E1978"/>
      </top>
      <bottom style="thin">
        <color rgb="FF6E1978"/>
      </bottom>
      <diagonal/>
    </border>
    <border>
      <left style="medium">
        <color rgb="FF6E1978"/>
      </left>
      <right style="thin">
        <color rgb="FF6E1978"/>
      </right>
      <top style="thin">
        <color rgb="FF6E1978"/>
      </top>
      <bottom style="medium">
        <color rgb="FF6E1978"/>
      </bottom>
      <diagonal/>
    </border>
    <border>
      <left style="thin">
        <color rgb="FF6E1978"/>
      </left>
      <right style="thin">
        <color rgb="FF6E1978"/>
      </right>
      <top style="thin">
        <color rgb="FF6E1978"/>
      </top>
      <bottom style="medium">
        <color rgb="FF6E1978"/>
      </bottom>
      <diagonal/>
    </border>
    <border>
      <left style="thin">
        <color rgb="FF6E1978"/>
      </left>
      <right style="medium">
        <color rgb="FF6E1978"/>
      </right>
      <top style="thin">
        <color rgb="FF6E1978"/>
      </top>
      <bottom style="medium">
        <color rgb="FF6E1978"/>
      </bottom>
      <diagonal/>
    </border>
    <border>
      <left style="medium">
        <color rgb="FF6E1978"/>
      </left>
      <right/>
      <top/>
      <bottom/>
      <diagonal/>
    </border>
    <border>
      <left style="medium">
        <color rgb="FF6E1978"/>
      </left>
      <right/>
      <top style="medium">
        <color rgb="FF6E1978"/>
      </top>
      <bottom style="medium">
        <color rgb="FF6E1978"/>
      </bottom>
      <diagonal/>
    </border>
    <border>
      <left/>
      <right/>
      <top style="medium">
        <color rgb="FF6E1978"/>
      </top>
      <bottom style="medium">
        <color rgb="FF6E1978"/>
      </bottom>
      <diagonal/>
    </border>
    <border>
      <left/>
      <right style="medium">
        <color rgb="FF6E1978"/>
      </right>
      <top style="medium">
        <color rgb="FF6E1978"/>
      </top>
      <bottom style="medium">
        <color rgb="FF6E1978"/>
      </bottom>
      <diagonal/>
    </border>
    <border>
      <left style="thin">
        <color theme="0"/>
      </left>
      <right/>
      <top style="thin">
        <color theme="0"/>
      </top>
      <bottom style="thin">
        <color theme="0"/>
      </bottom>
      <diagonal/>
    </border>
    <border>
      <left style="thin">
        <color theme="0"/>
      </left>
      <right/>
      <top style="thin">
        <color theme="0"/>
      </top>
      <bottom/>
      <diagonal/>
    </border>
    <border>
      <left style="thin">
        <color rgb="FF6E1978"/>
      </left>
      <right/>
      <top style="thin">
        <color rgb="FF6E1978"/>
      </top>
      <bottom style="thin">
        <color rgb="FF6E1978"/>
      </bottom>
      <diagonal/>
    </border>
    <border>
      <left style="thin">
        <color theme="3" tint="-0.249977111117893"/>
      </left>
      <right style="thin">
        <color theme="3" tint="-0.249977111117893"/>
      </right>
      <top/>
      <bottom/>
      <diagonal/>
    </border>
    <border>
      <left style="thin">
        <color theme="3" tint="-0.249977111117893"/>
      </left>
      <right/>
      <top/>
      <bottom/>
      <diagonal/>
    </border>
    <border>
      <left style="medium">
        <color rgb="FF6E1978"/>
      </left>
      <right style="thin">
        <color theme="3" tint="-0.249977111117893"/>
      </right>
      <top style="medium">
        <color rgb="FF6E1978"/>
      </top>
      <bottom/>
      <diagonal/>
    </border>
    <border>
      <left style="thin">
        <color theme="3" tint="-0.249977111117893"/>
      </left>
      <right/>
      <top style="medium">
        <color rgb="FF6E1978"/>
      </top>
      <bottom style="thin">
        <color rgb="FF6E1978"/>
      </bottom>
      <diagonal/>
    </border>
    <border>
      <left/>
      <right/>
      <top style="medium">
        <color rgb="FF6E1978"/>
      </top>
      <bottom style="thin">
        <color rgb="FF6E1978"/>
      </bottom>
      <diagonal/>
    </border>
    <border>
      <left/>
      <right style="medium">
        <color rgb="FF6E1978"/>
      </right>
      <top style="medium">
        <color rgb="FF6E1978"/>
      </top>
      <bottom style="thin">
        <color rgb="FF6E1978"/>
      </bottom>
      <diagonal/>
    </border>
    <border>
      <left style="medium">
        <color rgb="FF6E1978"/>
      </left>
      <right/>
      <top/>
      <bottom style="medium">
        <color rgb="FF6E1978"/>
      </bottom>
      <diagonal/>
    </border>
    <border>
      <left/>
      <right/>
      <top/>
      <bottom style="medium">
        <color rgb="FF6E1978"/>
      </bottom>
      <diagonal/>
    </border>
    <border>
      <left/>
      <right style="medium">
        <color rgb="FF6E1978"/>
      </right>
      <top/>
      <bottom style="medium">
        <color rgb="FF6E1978"/>
      </bottom>
      <diagonal/>
    </border>
    <border>
      <left style="medium">
        <color rgb="FF6E1978"/>
      </left>
      <right style="thin">
        <color theme="3" tint="-0.249977111117893"/>
      </right>
      <top/>
      <bottom/>
      <diagonal/>
    </border>
    <border>
      <left style="thin">
        <color theme="3" tint="-0.249977111117893"/>
      </left>
      <right style="medium">
        <color rgb="FF6E1978"/>
      </right>
      <top/>
      <bottom/>
      <diagonal/>
    </border>
    <border>
      <left/>
      <right style="medium">
        <color rgb="FF6E1978"/>
      </right>
      <top/>
      <bottom/>
      <diagonal/>
    </border>
    <border>
      <left style="medium">
        <color rgb="FF6E1978"/>
      </left>
      <right style="thin">
        <color rgb="FF6E1978"/>
      </right>
      <top/>
      <bottom style="thin">
        <color rgb="FF6E1978"/>
      </bottom>
      <diagonal/>
    </border>
    <border>
      <left style="thin">
        <color rgb="FF6E1978"/>
      </left>
      <right style="thin">
        <color rgb="FF6E1978"/>
      </right>
      <top/>
      <bottom style="thin">
        <color rgb="FF6E1978"/>
      </bottom>
      <diagonal/>
    </border>
    <border>
      <left style="thin">
        <color rgb="FF6E1978"/>
      </left>
      <right style="medium">
        <color rgb="FF6E1978"/>
      </right>
      <top/>
      <bottom style="thin">
        <color rgb="FF6E1978"/>
      </bottom>
      <diagonal/>
    </border>
    <border>
      <left style="thin">
        <color rgb="FF6E1978"/>
      </left>
      <right style="medium">
        <color rgb="FF6E1978"/>
      </right>
      <top style="medium">
        <color rgb="FF6E1978"/>
      </top>
      <bottom style="thin">
        <color rgb="FF6E1978"/>
      </bottom>
      <diagonal/>
    </border>
    <border>
      <left style="medium">
        <color rgb="FF6E1978"/>
      </left>
      <right style="thin">
        <color rgb="FF6E1978"/>
      </right>
      <top style="medium">
        <color rgb="FF6E1978"/>
      </top>
      <bottom style="thin">
        <color rgb="FF6E1978"/>
      </bottom>
      <diagonal/>
    </border>
    <border>
      <left style="thin">
        <color rgb="FF6E1978"/>
      </left>
      <right style="thin">
        <color rgb="FF6E1978"/>
      </right>
      <top style="medium">
        <color rgb="FF6E1978"/>
      </top>
      <bottom style="thin">
        <color rgb="FF6E1978"/>
      </bottom>
      <diagonal/>
    </border>
    <border>
      <left style="medium">
        <color rgb="FF6E1978"/>
      </left>
      <right style="thin">
        <color theme="0"/>
      </right>
      <top style="medium">
        <color rgb="FF6E1978"/>
      </top>
      <bottom/>
      <diagonal/>
    </border>
    <border>
      <left style="thin">
        <color theme="0"/>
      </left>
      <right style="thin">
        <color theme="0"/>
      </right>
      <top style="medium">
        <color rgb="FF6E1978"/>
      </top>
      <bottom/>
      <diagonal/>
    </border>
    <border>
      <left style="thin">
        <color theme="0"/>
      </left>
      <right style="medium">
        <color rgb="FF6E1978"/>
      </right>
      <top style="medium">
        <color rgb="FF6E1978"/>
      </top>
      <bottom/>
      <diagonal/>
    </border>
    <border>
      <left/>
      <right style="thin">
        <color rgb="FF6E1978"/>
      </right>
      <top style="thin">
        <color rgb="FF6E1978"/>
      </top>
      <bottom style="thin">
        <color rgb="FF6E1978"/>
      </bottom>
      <diagonal/>
    </border>
    <border>
      <left style="thin">
        <color rgb="FF6E1978"/>
      </left>
      <right/>
      <top style="thin">
        <color rgb="FF6E1978"/>
      </top>
      <bottom/>
      <diagonal/>
    </border>
    <border>
      <left style="thin">
        <color rgb="FF6E1978"/>
      </left>
      <right/>
      <top/>
      <bottom style="thin">
        <color rgb="FF6E1978"/>
      </bottom>
      <diagonal/>
    </border>
    <border>
      <left style="thin">
        <color rgb="FF000000"/>
      </left>
      <right style="thin">
        <color rgb="FF000000"/>
      </right>
      <top style="thin">
        <color rgb="FF000000"/>
      </top>
      <bottom style="thin">
        <color rgb="FF000000"/>
      </bottom>
      <diagonal/>
    </border>
    <border>
      <left style="thin">
        <color rgb="FF6E1978"/>
      </left>
      <right style="thin">
        <color rgb="FF6E1978"/>
      </right>
      <top style="thin">
        <color rgb="FF6E1978"/>
      </top>
      <bottom/>
      <diagonal/>
    </border>
    <border>
      <left style="thin">
        <color indexed="64"/>
      </left>
      <right style="thin">
        <color indexed="64"/>
      </right>
      <top style="thin">
        <color indexed="64"/>
      </top>
      <bottom style="thin">
        <color indexed="64"/>
      </bottom>
      <diagonal/>
    </border>
    <border>
      <left style="thin">
        <color rgb="FF6E1978"/>
      </left>
      <right style="thin">
        <color rgb="FF6E1978"/>
      </right>
      <top/>
      <bottom/>
      <diagonal/>
    </border>
    <border>
      <left style="medium">
        <color rgb="FF6E1978"/>
      </left>
      <right style="thin">
        <color rgb="FF6E1978"/>
      </right>
      <top style="thin">
        <color rgb="FF6E1978"/>
      </top>
      <bottom/>
      <diagonal/>
    </border>
    <border>
      <left/>
      <right style="thin">
        <color rgb="FF6E1978"/>
      </right>
      <top style="thin">
        <color rgb="FF6E1978"/>
      </top>
      <bottom/>
      <diagonal/>
    </border>
    <border>
      <left style="thin">
        <color rgb="FFB61978"/>
      </left>
      <right style="thin">
        <color rgb="FFB61978"/>
      </right>
      <top style="thin">
        <color rgb="FFB61978"/>
      </top>
      <bottom style="thin">
        <color rgb="FFB61978"/>
      </bottom>
      <diagonal/>
    </border>
    <border>
      <left/>
      <right/>
      <top style="thin">
        <color rgb="FF6E1978"/>
      </top>
      <bottom style="thin">
        <color rgb="FF6E1978"/>
      </bottom>
      <diagonal/>
    </border>
    <border>
      <left style="medium">
        <color rgb="FF6E1978"/>
      </left>
      <right/>
      <top style="thin">
        <color rgb="FF6E1978"/>
      </top>
      <bottom style="medium">
        <color rgb="FF6E1978"/>
      </bottom>
      <diagonal/>
    </border>
    <border>
      <left/>
      <right/>
      <top style="thin">
        <color rgb="FF6E1978"/>
      </top>
      <bottom style="medium">
        <color rgb="FF6E1978"/>
      </bottom>
      <diagonal/>
    </border>
    <border>
      <left/>
      <right style="thin">
        <color rgb="FF6E1978"/>
      </right>
      <top style="thin">
        <color rgb="FF6E1978"/>
      </top>
      <bottom style="medium">
        <color rgb="FF6E1978"/>
      </bottom>
      <diagonal/>
    </border>
    <border>
      <left style="thin">
        <color indexed="64"/>
      </left>
      <right style="thin">
        <color indexed="64"/>
      </right>
      <top/>
      <bottom style="thin">
        <color indexed="64"/>
      </bottom>
      <diagonal/>
    </border>
    <border>
      <left style="medium">
        <color rgb="FF6E1978"/>
      </left>
      <right/>
      <top style="thin">
        <color rgb="FF6E1978"/>
      </top>
      <bottom style="thin">
        <color rgb="FF6E1978"/>
      </bottom>
      <diagonal/>
    </border>
    <border>
      <left style="thin">
        <color rgb="FF6E1978"/>
      </left>
      <right/>
      <top/>
      <bottom/>
      <diagonal/>
    </border>
    <border>
      <left style="thin">
        <color rgb="FFB61978"/>
      </left>
      <right style="thin">
        <color rgb="FFB61978"/>
      </right>
      <top style="thin">
        <color rgb="FFB61978"/>
      </top>
      <bottom/>
      <diagonal/>
    </border>
    <border>
      <left/>
      <right style="thin">
        <color rgb="FF6E1978"/>
      </right>
      <top/>
      <bottom style="thin">
        <color rgb="FF6E1978"/>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top style="thin">
        <color indexed="64"/>
      </top>
      <bottom/>
      <diagonal/>
    </border>
    <border>
      <left style="thin">
        <color indexed="64"/>
      </left>
      <right/>
      <top/>
      <bottom style="thin">
        <color indexed="64"/>
      </bottom>
      <diagonal/>
    </border>
    <border>
      <left style="thin">
        <color theme="0"/>
      </left>
      <right style="thin">
        <color theme="0"/>
      </right>
      <top/>
      <bottom/>
      <diagonal/>
    </border>
    <border>
      <left style="thin">
        <color theme="0"/>
      </left>
      <right style="thin">
        <color indexed="64"/>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s>
  <cellStyleXfs count="5">
    <xf numFmtId="0" fontId="0" fillId="0" borderId="0"/>
    <xf numFmtId="9" fontId="3" fillId="0" borderId="0" applyFont="0" applyFill="0" applyBorder="0" applyAlignment="0" applyProtection="0"/>
    <xf numFmtId="0" fontId="18" fillId="0" borderId="0"/>
    <xf numFmtId="0" fontId="19" fillId="0" borderId="0"/>
    <xf numFmtId="0" fontId="2" fillId="0" borderId="0"/>
  </cellStyleXfs>
  <cellXfs count="542">
    <xf numFmtId="0" fontId="0" fillId="0" borderId="0" xfId="0"/>
    <xf numFmtId="0" fontId="2" fillId="0" borderId="0" xfId="0" applyFont="1"/>
    <xf numFmtId="0" fontId="1" fillId="0" borderId="1" xfId="0" applyFont="1" applyBorder="1" applyAlignment="1">
      <alignment horizontal="left" vertical="center" wrapText="1" indent="1" readingOrder="1"/>
    </xf>
    <xf numFmtId="0" fontId="7" fillId="10" borderId="2" xfId="0" applyFont="1" applyFill="1" applyBorder="1" applyAlignment="1" applyProtection="1">
      <alignment horizontal="center" vertical="center" wrapText="1" readingOrder="1"/>
      <protection hidden="1"/>
    </xf>
    <xf numFmtId="0" fontId="7" fillId="10" borderId="9" xfId="0" applyFont="1" applyFill="1" applyBorder="1" applyAlignment="1" applyProtection="1">
      <alignment horizontal="center" vertical="center" wrapText="1" readingOrder="1"/>
      <protection hidden="1"/>
    </xf>
    <xf numFmtId="0" fontId="7" fillId="10" borderId="3" xfId="0" applyFont="1" applyFill="1" applyBorder="1" applyAlignment="1" applyProtection="1">
      <alignment horizontal="center" vertical="center" wrapText="1" readingOrder="1"/>
      <protection hidden="1"/>
    </xf>
    <xf numFmtId="0" fontId="7" fillId="11" borderId="2" xfId="0" applyFont="1" applyFill="1" applyBorder="1" applyAlignment="1" applyProtection="1">
      <alignment horizontal="center" wrapText="1" readingOrder="1"/>
      <protection hidden="1"/>
    </xf>
    <xf numFmtId="0" fontId="7" fillId="11" borderId="9" xfId="0" applyFont="1" applyFill="1" applyBorder="1" applyAlignment="1" applyProtection="1">
      <alignment horizontal="center" wrapText="1" readingOrder="1"/>
      <protection hidden="1"/>
    </xf>
    <xf numFmtId="0" fontId="7" fillId="11" borderId="3" xfId="0" applyFont="1" applyFill="1" applyBorder="1" applyAlignment="1" applyProtection="1">
      <alignment horizontal="center" wrapText="1" readingOrder="1"/>
      <protection hidden="1"/>
    </xf>
    <xf numFmtId="0" fontId="7" fillId="10" borderId="4" xfId="0" applyFont="1" applyFill="1" applyBorder="1" applyAlignment="1" applyProtection="1">
      <alignment horizontal="center" vertical="center" wrapText="1" readingOrder="1"/>
      <protection hidden="1"/>
    </xf>
    <xf numFmtId="0" fontId="7" fillId="10" borderId="0" xfId="0" applyFont="1" applyFill="1" applyAlignment="1" applyProtection="1">
      <alignment horizontal="center" vertical="center" wrapText="1" readingOrder="1"/>
      <protection hidden="1"/>
    </xf>
    <xf numFmtId="0" fontId="7" fillId="10" borderId="5" xfId="0" applyFont="1" applyFill="1" applyBorder="1" applyAlignment="1" applyProtection="1">
      <alignment horizontal="center" vertical="center" wrapText="1" readingOrder="1"/>
      <protection hidden="1"/>
    </xf>
    <xf numFmtId="0" fontId="7" fillId="11" borderId="4" xfId="0" applyFont="1" applyFill="1" applyBorder="1" applyAlignment="1" applyProtection="1">
      <alignment horizontal="center" wrapText="1" readingOrder="1"/>
      <protection hidden="1"/>
    </xf>
    <xf numFmtId="0" fontId="7" fillId="11" borderId="0" xfId="0" applyFont="1" applyFill="1" applyAlignment="1" applyProtection="1">
      <alignment horizontal="center" wrapText="1" readingOrder="1"/>
      <protection hidden="1"/>
    </xf>
    <xf numFmtId="0" fontId="7" fillId="11" borderId="5" xfId="0" applyFont="1" applyFill="1" applyBorder="1" applyAlignment="1" applyProtection="1">
      <alignment horizontal="center" wrapText="1" readingOrder="1"/>
      <protection hidden="1"/>
    </xf>
    <xf numFmtId="0" fontId="7" fillId="10" borderId="6" xfId="0" applyFont="1" applyFill="1" applyBorder="1" applyAlignment="1" applyProtection="1">
      <alignment horizontal="center" vertical="center" wrapText="1" readingOrder="1"/>
      <protection hidden="1"/>
    </xf>
    <xf numFmtId="0" fontId="7" fillId="10" borderId="8" xfId="0" applyFont="1" applyFill="1" applyBorder="1" applyAlignment="1" applyProtection="1">
      <alignment horizontal="center" vertical="center" wrapText="1" readingOrder="1"/>
      <protection hidden="1"/>
    </xf>
    <xf numFmtId="0" fontId="7" fillId="10" borderId="7" xfId="0" applyFont="1" applyFill="1" applyBorder="1" applyAlignment="1" applyProtection="1">
      <alignment horizontal="center" vertical="center" wrapText="1" readingOrder="1"/>
      <protection hidden="1"/>
    </xf>
    <xf numFmtId="0" fontId="7" fillId="11" borderId="6" xfId="0" applyFont="1" applyFill="1" applyBorder="1" applyAlignment="1" applyProtection="1">
      <alignment horizontal="center" wrapText="1" readingOrder="1"/>
      <protection hidden="1"/>
    </xf>
    <xf numFmtId="0" fontId="7" fillId="11" borderId="8" xfId="0" applyFont="1" applyFill="1" applyBorder="1" applyAlignment="1" applyProtection="1">
      <alignment horizontal="center" wrapText="1" readingOrder="1"/>
      <protection hidden="1"/>
    </xf>
    <xf numFmtId="0" fontId="7" fillId="11" borderId="7" xfId="0" applyFont="1" applyFill="1" applyBorder="1" applyAlignment="1" applyProtection="1">
      <alignment horizontal="center" wrapText="1" readingOrder="1"/>
      <protection hidden="1"/>
    </xf>
    <xf numFmtId="0" fontId="7" fillId="12" borderId="2" xfId="0" applyFont="1" applyFill="1" applyBorder="1" applyAlignment="1" applyProtection="1">
      <alignment horizontal="center" wrapText="1" readingOrder="1"/>
      <protection hidden="1"/>
    </xf>
    <xf numFmtId="0" fontId="7" fillId="12" borderId="9" xfId="0" applyFont="1" applyFill="1" applyBorder="1" applyAlignment="1" applyProtection="1">
      <alignment horizontal="center" wrapText="1" readingOrder="1"/>
      <protection hidden="1"/>
    </xf>
    <xf numFmtId="0" fontId="7" fillId="12" borderId="3" xfId="0" applyFont="1" applyFill="1" applyBorder="1" applyAlignment="1" applyProtection="1">
      <alignment horizontal="center" wrapText="1" readingOrder="1"/>
      <protection hidden="1"/>
    </xf>
    <xf numFmtId="0" fontId="7" fillId="12" borderId="4" xfId="0" applyFont="1" applyFill="1" applyBorder="1" applyAlignment="1" applyProtection="1">
      <alignment horizontal="center" wrapText="1" readingOrder="1"/>
      <protection hidden="1"/>
    </xf>
    <xf numFmtId="0" fontId="7" fillId="12" borderId="0" xfId="0" applyFont="1" applyFill="1" applyAlignment="1" applyProtection="1">
      <alignment horizontal="center" wrapText="1" readingOrder="1"/>
      <protection hidden="1"/>
    </xf>
    <xf numFmtId="0" fontId="7" fillId="12" borderId="5" xfId="0" applyFont="1" applyFill="1" applyBorder="1" applyAlignment="1" applyProtection="1">
      <alignment horizontal="center" wrapText="1" readingOrder="1"/>
      <protection hidden="1"/>
    </xf>
    <xf numFmtId="0" fontId="7" fillId="12" borderId="6" xfId="0" applyFont="1" applyFill="1" applyBorder="1" applyAlignment="1" applyProtection="1">
      <alignment horizontal="center" wrapText="1" readingOrder="1"/>
      <protection hidden="1"/>
    </xf>
    <xf numFmtId="0" fontId="7" fillId="12" borderId="8" xfId="0" applyFont="1" applyFill="1" applyBorder="1" applyAlignment="1" applyProtection="1">
      <alignment horizontal="center" wrapText="1" readingOrder="1"/>
      <protection hidden="1"/>
    </xf>
    <xf numFmtId="0" fontId="7" fillId="12" borderId="7" xfId="0" applyFont="1" applyFill="1" applyBorder="1" applyAlignment="1" applyProtection="1">
      <alignment horizontal="center" wrapText="1" readingOrder="1"/>
      <protection hidden="1"/>
    </xf>
    <xf numFmtId="0" fontId="7" fillId="5" borderId="2" xfId="0" applyFont="1" applyFill="1" applyBorder="1" applyAlignment="1" applyProtection="1">
      <alignment horizontal="center" wrapText="1" readingOrder="1"/>
      <protection hidden="1"/>
    </xf>
    <xf numFmtId="0" fontId="7" fillId="5" borderId="9" xfId="0" applyFont="1" applyFill="1" applyBorder="1" applyAlignment="1" applyProtection="1">
      <alignment horizontal="center" wrapText="1" readingOrder="1"/>
      <protection hidden="1"/>
    </xf>
    <xf numFmtId="0" fontId="7" fillId="5" borderId="3" xfId="0" applyFont="1" applyFill="1" applyBorder="1" applyAlignment="1" applyProtection="1">
      <alignment horizontal="center" wrapText="1" readingOrder="1"/>
      <protection hidden="1"/>
    </xf>
    <xf numFmtId="0" fontId="7" fillId="5" borderId="4" xfId="0" applyFont="1" applyFill="1" applyBorder="1" applyAlignment="1" applyProtection="1">
      <alignment horizontal="center" wrapText="1" readingOrder="1"/>
      <protection hidden="1"/>
    </xf>
    <xf numFmtId="0" fontId="7" fillId="5" borderId="0" xfId="0" applyFont="1" applyFill="1" applyAlignment="1" applyProtection="1">
      <alignment horizontal="center" wrapText="1" readingOrder="1"/>
      <protection hidden="1"/>
    </xf>
    <xf numFmtId="0" fontId="7" fillId="5" borderId="5" xfId="0" applyFont="1" applyFill="1" applyBorder="1" applyAlignment="1" applyProtection="1">
      <alignment horizontal="center" wrapText="1" readingOrder="1"/>
      <protection hidden="1"/>
    </xf>
    <xf numFmtId="0" fontId="7" fillId="5" borderId="6" xfId="0" applyFont="1" applyFill="1" applyBorder="1" applyAlignment="1" applyProtection="1">
      <alignment horizontal="center" wrapText="1" readingOrder="1"/>
      <protection hidden="1"/>
    </xf>
    <xf numFmtId="0" fontId="7" fillId="5" borderId="8" xfId="0" applyFont="1" applyFill="1" applyBorder="1" applyAlignment="1" applyProtection="1">
      <alignment horizontal="center" wrapText="1" readingOrder="1"/>
      <protection hidden="1"/>
    </xf>
    <xf numFmtId="0" fontId="7" fillId="5" borderId="7" xfId="0" applyFont="1" applyFill="1" applyBorder="1" applyAlignment="1" applyProtection="1">
      <alignment horizontal="center" wrapText="1" readingOrder="1"/>
      <protection hidden="1"/>
    </xf>
    <xf numFmtId="0" fontId="11" fillId="12" borderId="9" xfId="0" applyFont="1" applyFill="1" applyBorder="1" applyAlignment="1" applyProtection="1">
      <alignment horizontal="center" wrapText="1" readingOrder="1"/>
      <protection hidden="1"/>
    </xf>
    <xf numFmtId="0" fontId="0" fillId="3" borderId="0" xfId="0" applyFill="1"/>
    <xf numFmtId="0" fontId="4" fillId="3" borderId="0" xfId="0" applyFont="1" applyFill="1" applyAlignment="1">
      <alignment vertical="center"/>
    </xf>
    <xf numFmtId="0" fontId="14" fillId="3" borderId="0" xfId="0" applyFont="1" applyFill="1" applyAlignment="1">
      <alignment horizontal="center" vertical="center" wrapText="1"/>
    </xf>
    <xf numFmtId="0" fontId="20" fillId="3" borderId="0" xfId="0" applyFont="1" applyFill="1"/>
    <xf numFmtId="0" fontId="20" fillId="0" borderId="0" xfId="0" applyFont="1"/>
    <xf numFmtId="0" fontId="36" fillId="3" borderId="0" xfId="0" applyFont="1" applyFill="1"/>
    <xf numFmtId="0" fontId="39" fillId="3" borderId="0" xfId="0" applyFont="1" applyFill="1" applyAlignment="1">
      <alignment horizontal="justify" vertical="center" wrapText="1" readingOrder="1"/>
    </xf>
    <xf numFmtId="0" fontId="22" fillId="3" borderId="0" xfId="0" applyFont="1" applyFill="1" applyAlignment="1">
      <alignment vertical="center"/>
    </xf>
    <xf numFmtId="0" fontId="21" fillId="3" borderId="0" xfId="0" applyFont="1" applyFill="1"/>
    <xf numFmtId="0" fontId="36" fillId="0" borderId="0" xfId="0" applyFont="1"/>
    <xf numFmtId="0" fontId="39" fillId="0" borderId="0" xfId="0" applyFont="1" applyAlignment="1">
      <alignment horizontal="justify" vertical="center" wrapText="1" readingOrder="1"/>
    </xf>
    <xf numFmtId="0" fontId="40" fillId="0" borderId="0" xfId="0" applyFont="1" applyAlignment="1">
      <alignment vertical="center"/>
    </xf>
    <xf numFmtId="0" fontId="20" fillId="0" borderId="0" xfId="0" pivotButton="1" applyFont="1"/>
    <xf numFmtId="0" fontId="40" fillId="0" borderId="0" xfId="0" applyFont="1"/>
    <xf numFmtId="0" fontId="41" fillId="0" borderId="0" xfId="0" applyFont="1"/>
    <xf numFmtId="0" fontId="21" fillId="0" borderId="0" xfId="0" applyFont="1"/>
    <xf numFmtId="0" fontId="23" fillId="3" borderId="0" xfId="0" applyFont="1" applyFill="1"/>
    <xf numFmtId="0" fontId="42" fillId="3" borderId="0" xfId="0" applyFont="1" applyFill="1"/>
    <xf numFmtId="0" fontId="48" fillId="3" borderId="0" xfId="0" applyFont="1" applyFill="1"/>
    <xf numFmtId="0" fontId="22" fillId="3" borderId="0" xfId="0" applyFont="1" applyFill="1" applyAlignment="1">
      <alignment horizontal="left" vertical="center"/>
    </xf>
    <xf numFmtId="0" fontId="51" fillId="0" borderId="0" xfId="0" applyFont="1" applyAlignment="1">
      <alignment horizontal="center" vertical="center" wrapText="1"/>
    </xf>
    <xf numFmtId="0" fontId="53" fillId="0" borderId="0" xfId="0" applyFont="1"/>
    <xf numFmtId="0" fontId="48" fillId="0" borderId="0" xfId="0" applyFont="1"/>
    <xf numFmtId="0" fontId="37" fillId="0" borderId="0" xfId="0" applyFont="1" applyAlignment="1">
      <alignment horizontal="justify" vertical="center" wrapText="1" readingOrder="1"/>
    </xf>
    <xf numFmtId="0" fontId="50" fillId="0" borderId="0" xfId="0" applyFont="1" applyAlignment="1">
      <alignment horizontal="center" vertical="center" wrapText="1" readingOrder="1"/>
    </xf>
    <xf numFmtId="0" fontId="20" fillId="3" borderId="0" xfId="0" applyFont="1" applyFill="1" applyAlignment="1">
      <alignment wrapText="1"/>
    </xf>
    <xf numFmtId="0" fontId="20" fillId="0" borderId="0" xfId="0" applyFont="1" applyAlignment="1">
      <alignment wrapText="1"/>
    </xf>
    <xf numFmtId="0" fontId="20" fillId="0" borderId="0" xfId="0" pivotButton="1" applyFont="1" applyAlignment="1">
      <alignment wrapText="1"/>
    </xf>
    <xf numFmtId="0" fontId="13" fillId="0" borderId="0" xfId="0" applyFont="1" applyAlignment="1">
      <alignment wrapText="1"/>
    </xf>
    <xf numFmtId="0" fontId="32" fillId="3" borderId="24" xfId="2" applyFont="1" applyFill="1" applyBorder="1" applyAlignment="1">
      <alignment horizontal="left" vertical="center" wrapText="1"/>
    </xf>
    <xf numFmtId="0" fontId="31" fillId="3" borderId="24" xfId="2" applyFont="1" applyFill="1" applyBorder="1" applyAlignment="1">
      <alignment horizontal="left" vertical="center" wrapText="1"/>
    </xf>
    <xf numFmtId="0" fontId="31" fillId="3" borderId="24" xfId="2" applyFont="1" applyFill="1" applyBorder="1" applyAlignment="1">
      <alignment vertical="center" wrapText="1"/>
    </xf>
    <xf numFmtId="0" fontId="32" fillId="3" borderId="24" xfId="2" applyFont="1" applyFill="1" applyBorder="1" applyAlignment="1">
      <alignment vertical="center" wrapText="1"/>
    </xf>
    <xf numFmtId="0" fontId="24" fillId="15" borderId="44" xfId="3" applyFont="1" applyFill="1" applyBorder="1" applyAlignment="1">
      <alignment vertical="center" wrapText="1"/>
    </xf>
    <xf numFmtId="0" fontId="31" fillId="3" borderId="30" xfId="3" applyFont="1" applyFill="1" applyBorder="1" applyAlignment="1">
      <alignment vertical="top" wrapText="1" readingOrder="1"/>
    </xf>
    <xf numFmtId="0" fontId="31" fillId="3" borderId="30" xfId="0" applyFont="1" applyFill="1" applyBorder="1" applyAlignment="1">
      <alignment vertical="center" wrapText="1"/>
    </xf>
    <xf numFmtId="0" fontId="32" fillId="3" borderId="30" xfId="0" applyFont="1" applyFill="1" applyBorder="1" applyAlignment="1">
      <alignment vertical="center" wrapText="1"/>
    </xf>
    <xf numFmtId="0" fontId="31" fillId="3" borderId="31" xfId="2" applyFont="1" applyFill="1" applyBorder="1" applyAlignment="1">
      <alignment vertical="center" wrapText="1"/>
    </xf>
    <xf numFmtId="0" fontId="32" fillId="3" borderId="31" xfId="2" applyFont="1" applyFill="1" applyBorder="1" applyAlignment="1">
      <alignment vertical="center" wrapText="1"/>
    </xf>
    <xf numFmtId="0" fontId="28" fillId="3" borderId="35" xfId="2" quotePrefix="1" applyFont="1" applyFill="1" applyBorder="1" applyAlignment="1">
      <alignment horizontal="left" vertical="top" wrapText="1"/>
    </xf>
    <xf numFmtId="0" fontId="29" fillId="3" borderId="0" xfId="2" quotePrefix="1" applyFont="1" applyFill="1" applyAlignment="1">
      <alignment horizontal="left" vertical="top" wrapText="1"/>
    </xf>
    <xf numFmtId="0" fontId="29" fillId="3" borderId="53" xfId="2" quotePrefix="1" applyFont="1" applyFill="1" applyBorder="1" applyAlignment="1">
      <alignment horizontal="left" vertical="top" wrapText="1"/>
    </xf>
    <xf numFmtId="0" fontId="18" fillId="3" borderId="35" xfId="2" applyFill="1" applyBorder="1"/>
    <xf numFmtId="0" fontId="18" fillId="3" borderId="0" xfId="2" applyFill="1"/>
    <xf numFmtId="0" fontId="30" fillId="3" borderId="0" xfId="2" applyFont="1" applyFill="1" applyAlignment="1">
      <alignment horizontal="left" vertical="center" wrapText="1"/>
    </xf>
    <xf numFmtId="0" fontId="18" fillId="3" borderId="0" xfId="2" applyFill="1" applyAlignment="1">
      <alignment horizontal="left" vertical="center" wrapText="1"/>
    </xf>
    <xf numFmtId="0" fontId="18" fillId="3" borderId="0" xfId="2" quotePrefix="1" applyFill="1" applyAlignment="1">
      <alignment horizontal="left" vertical="center" wrapText="1"/>
    </xf>
    <xf numFmtId="0" fontId="18" fillId="3" borderId="53" xfId="2" applyFill="1" applyBorder="1"/>
    <xf numFmtId="0" fontId="18" fillId="3" borderId="53" xfId="2" applyFill="1" applyBorder="1" applyAlignment="1">
      <alignment horizontal="left"/>
    </xf>
    <xf numFmtId="0" fontId="32" fillId="3" borderId="53" xfId="2" applyFont="1" applyFill="1" applyBorder="1" applyAlignment="1">
      <alignment vertical="center" wrapText="1"/>
    </xf>
    <xf numFmtId="0" fontId="32" fillId="3" borderId="53" xfId="2" applyFont="1" applyFill="1" applyBorder="1" applyAlignment="1">
      <alignment horizontal="left" vertical="center" wrapText="1"/>
    </xf>
    <xf numFmtId="0" fontId="31" fillId="3" borderId="0" xfId="0" applyFont="1" applyFill="1" applyAlignment="1">
      <alignment horizontal="left" vertical="center" wrapText="1"/>
    </xf>
    <xf numFmtId="0" fontId="32" fillId="3" borderId="0" xfId="0" applyFont="1" applyFill="1" applyAlignment="1">
      <alignment horizontal="left" vertical="top" wrapText="1"/>
    </xf>
    <xf numFmtId="0" fontId="18" fillId="3" borderId="48" xfId="2" applyFill="1" applyBorder="1"/>
    <xf numFmtId="0" fontId="18" fillId="3" borderId="49" xfId="2" applyFill="1" applyBorder="1"/>
    <xf numFmtId="0" fontId="18" fillId="3" borderId="50" xfId="2" applyFill="1" applyBorder="1"/>
    <xf numFmtId="0" fontId="23" fillId="0" borderId="57" xfId="0" applyFont="1" applyBorder="1" applyAlignment="1">
      <alignment horizontal="center" vertical="center"/>
    </xf>
    <xf numFmtId="0" fontId="23" fillId="0" borderId="34" xfId="0" applyFont="1" applyBorder="1" applyAlignment="1">
      <alignment horizontal="center" vertical="center" wrapText="1"/>
    </xf>
    <xf numFmtId="0" fontId="37" fillId="0" borderId="24" xfId="0" applyFont="1" applyBorder="1" applyAlignment="1">
      <alignment horizontal="justify" vertical="center" wrapText="1" readingOrder="1"/>
    </xf>
    <xf numFmtId="9" fontId="37" fillId="0" borderId="24" xfId="0" applyNumberFormat="1" applyFont="1" applyBorder="1" applyAlignment="1">
      <alignment horizontal="center" vertical="center" wrapText="1" readingOrder="1"/>
    </xf>
    <xf numFmtId="0" fontId="37" fillId="5" borderId="24" xfId="0" applyFont="1" applyFill="1" applyBorder="1" applyAlignment="1">
      <alignment horizontal="center" vertical="center" wrapText="1" readingOrder="1"/>
    </xf>
    <xf numFmtId="0" fontId="37" fillId="6" borderId="24" xfId="0" applyFont="1" applyFill="1" applyBorder="1" applyAlignment="1">
      <alignment horizontal="center" vertical="center" wrapText="1" readingOrder="1"/>
    </xf>
    <xf numFmtId="0" fontId="37" fillId="4" borderId="24" xfId="0" applyFont="1" applyFill="1" applyBorder="1" applyAlignment="1">
      <alignment horizontal="center" vertical="center" wrapText="1" readingOrder="1"/>
    </xf>
    <xf numFmtId="0" fontId="37" fillId="7" borderId="24" xfId="0" applyFont="1" applyFill="1" applyBorder="1" applyAlignment="1">
      <alignment horizontal="center" vertical="center" wrapText="1" readingOrder="1"/>
    </xf>
    <xf numFmtId="0" fontId="38" fillId="8" borderId="24" xfId="0" applyFont="1" applyFill="1" applyBorder="1" applyAlignment="1">
      <alignment horizontal="center" vertical="center" wrapText="1" readingOrder="1"/>
    </xf>
    <xf numFmtId="0" fontId="52" fillId="15" borderId="24" xfId="0" applyFont="1" applyFill="1" applyBorder="1" applyAlignment="1">
      <alignment horizontal="center" vertical="center" wrapText="1" readingOrder="1"/>
    </xf>
    <xf numFmtId="0" fontId="37" fillId="0" borderId="24" xfId="0" applyFont="1" applyBorder="1" applyAlignment="1">
      <alignment horizontal="center" vertical="center" wrapText="1" readingOrder="1"/>
    </xf>
    <xf numFmtId="0" fontId="50" fillId="15" borderId="24" xfId="0" applyFont="1" applyFill="1" applyBorder="1" applyAlignment="1">
      <alignment horizontal="center" vertical="center" wrapText="1" readingOrder="1"/>
    </xf>
    <xf numFmtId="0" fontId="54" fillId="0" borderId="24" xfId="0" applyFont="1" applyBorder="1" applyAlignment="1">
      <alignment horizontal="center" vertical="center" wrapText="1"/>
    </xf>
    <xf numFmtId="0" fontId="37" fillId="0" borderId="24" xfId="0" applyFont="1" applyBorder="1" applyAlignment="1">
      <alignment horizontal="justify" vertical="center" wrapText="1"/>
    </xf>
    <xf numFmtId="0" fontId="55" fillId="0" borderId="24" xfId="0" applyFont="1" applyBorder="1" applyAlignment="1">
      <alignment vertical="top" wrapText="1"/>
    </xf>
    <xf numFmtId="0" fontId="54" fillId="0" borderId="31" xfId="0" applyFont="1" applyBorder="1" applyAlignment="1">
      <alignment horizontal="center" vertical="center" wrapText="1"/>
    </xf>
    <xf numFmtId="0" fontId="37" fillId="0" borderId="30" xfId="0" applyFont="1" applyBorder="1" applyAlignment="1">
      <alignment horizontal="center" vertical="center" wrapText="1"/>
    </xf>
    <xf numFmtId="0" fontId="37" fillId="0" borderId="31" xfId="0" applyFont="1" applyBorder="1" applyAlignment="1">
      <alignment horizontal="justify" vertical="center" wrapText="1"/>
    </xf>
    <xf numFmtId="0" fontId="44" fillId="3" borderId="24" xfId="0" applyFont="1" applyFill="1" applyBorder="1" applyAlignment="1">
      <alignment horizontal="center" vertical="center" wrapText="1" readingOrder="1"/>
    </xf>
    <xf numFmtId="0" fontId="45" fillId="3" borderId="24" xfId="0" applyFont="1" applyFill="1" applyBorder="1" applyAlignment="1">
      <alignment horizontal="justify" vertical="center" wrapText="1" readingOrder="1"/>
    </xf>
    <xf numFmtId="0" fontId="43" fillId="15" borderId="61" xfId="0" applyFont="1" applyFill="1" applyBorder="1" applyAlignment="1">
      <alignment horizontal="center" vertical="center" wrapText="1" readingOrder="1"/>
    </xf>
    <xf numFmtId="0" fontId="43" fillId="15" borderId="62" xfId="0" applyFont="1" applyFill="1" applyBorder="1" applyAlignment="1">
      <alignment horizontal="center" vertical="center" wrapText="1" readingOrder="1"/>
    </xf>
    <xf numFmtId="9" fontId="44" fillId="3" borderId="31" xfId="0" applyNumberFormat="1" applyFont="1" applyFill="1" applyBorder="1" applyAlignment="1">
      <alignment horizontal="center" vertical="center" wrapText="1" readingOrder="1"/>
    </xf>
    <xf numFmtId="0" fontId="45" fillId="3" borderId="31" xfId="0" applyFont="1" applyFill="1" applyBorder="1" applyAlignment="1">
      <alignment horizontal="center" vertical="center" wrapText="1" readingOrder="1"/>
    </xf>
    <xf numFmtId="0" fontId="44" fillId="3" borderId="33" xfId="0" applyFont="1" applyFill="1" applyBorder="1" applyAlignment="1">
      <alignment horizontal="center" vertical="center" wrapText="1" readingOrder="1"/>
    </xf>
    <xf numFmtId="0" fontId="45" fillId="3" borderId="33" xfId="0" applyFont="1" applyFill="1" applyBorder="1" applyAlignment="1">
      <alignment horizontal="justify" vertical="center" wrapText="1" readingOrder="1"/>
    </xf>
    <xf numFmtId="0" fontId="45" fillId="3" borderId="34" xfId="0" applyFont="1" applyFill="1" applyBorder="1" applyAlignment="1">
      <alignment horizontal="center" vertical="center" wrapText="1" readingOrder="1"/>
    </xf>
    <xf numFmtId="0" fontId="60" fillId="0" borderId="24" xfId="0" applyFont="1" applyBorder="1" applyAlignment="1" applyProtection="1">
      <alignment horizontal="center" vertical="center" wrapText="1"/>
      <protection locked="0"/>
    </xf>
    <xf numFmtId="0" fontId="59" fillId="0" borderId="24" xfId="0" applyFont="1" applyBorder="1" applyAlignment="1" applyProtection="1">
      <alignment horizontal="center" vertical="center" wrapText="1"/>
      <protection locked="0"/>
    </xf>
    <xf numFmtId="0" fontId="60" fillId="0" borderId="63" xfId="0" applyFont="1" applyBorder="1" applyAlignment="1" applyProtection="1">
      <alignment horizontal="center" vertical="center" wrapText="1"/>
      <protection locked="0"/>
    </xf>
    <xf numFmtId="0" fontId="61" fillId="0" borderId="55" xfId="0" applyFont="1" applyBorder="1" applyAlignment="1">
      <alignment horizontal="justify" vertical="center" wrapText="1"/>
    </xf>
    <xf numFmtId="0" fontId="60" fillId="0" borderId="24" xfId="0" applyFont="1" applyBorder="1" applyAlignment="1" applyProtection="1">
      <alignment horizontal="justify" vertical="center" wrapText="1"/>
      <protection locked="0"/>
    </xf>
    <xf numFmtId="0" fontId="61" fillId="17" borderId="24" xfId="0" applyFont="1" applyFill="1" applyBorder="1" applyAlignment="1">
      <alignment horizontal="justify" vertical="center" wrapText="1"/>
    </xf>
    <xf numFmtId="0" fontId="61" fillId="0" borderId="24" xfId="0" applyFont="1" applyBorder="1" applyAlignment="1">
      <alignment horizontal="justify" vertical="center" wrapText="1"/>
    </xf>
    <xf numFmtId="0" fontId="61" fillId="0" borderId="24" xfId="0" applyFont="1" applyBorder="1" applyAlignment="1">
      <alignment horizontal="left" vertical="center" wrapText="1"/>
    </xf>
    <xf numFmtId="14" fontId="61" fillId="0" borderId="24" xfId="0" applyNumberFormat="1" applyFont="1" applyBorder="1" applyAlignment="1">
      <alignment horizontal="center" vertical="center" wrapText="1"/>
    </xf>
    <xf numFmtId="0" fontId="60" fillId="0" borderId="67" xfId="0" applyFont="1" applyBorder="1" applyAlignment="1" applyProtection="1">
      <alignment horizontal="center" vertical="center" wrapText="1"/>
      <protection locked="0"/>
    </xf>
    <xf numFmtId="0" fontId="60" fillId="0" borderId="55" xfId="0" applyFont="1" applyBorder="1" applyAlignment="1" applyProtection="1">
      <alignment horizontal="center" vertical="center" wrapText="1"/>
      <protection locked="0"/>
    </xf>
    <xf numFmtId="0" fontId="61" fillId="0" borderId="67" xfId="0" applyFont="1" applyBorder="1" applyAlignment="1">
      <alignment horizontal="justify" vertical="center" wrapText="1"/>
    </xf>
    <xf numFmtId="0" fontId="60" fillId="0" borderId="67" xfId="0" applyFont="1" applyBorder="1" applyAlignment="1" applyProtection="1">
      <alignment horizontal="justify" vertical="center" wrapText="1"/>
      <protection locked="0"/>
    </xf>
    <xf numFmtId="0" fontId="61" fillId="0" borderId="24" xfId="0" applyFont="1" applyBorder="1" applyAlignment="1">
      <alignment horizontal="center" vertical="center" wrapText="1"/>
    </xf>
    <xf numFmtId="0" fontId="61" fillId="17" borderId="24" xfId="0" applyFont="1" applyFill="1" applyBorder="1" applyAlignment="1">
      <alignment horizontal="center" vertical="center" wrapText="1"/>
    </xf>
    <xf numFmtId="0" fontId="59" fillId="17" borderId="24" xfId="0" applyFont="1" applyFill="1" applyBorder="1" applyAlignment="1">
      <alignment horizontal="justify" vertical="center" wrapText="1"/>
    </xf>
    <xf numFmtId="0" fontId="61" fillId="0" borderId="72" xfId="0" applyFont="1" applyBorder="1" applyAlignment="1">
      <alignment horizontal="justify" vertical="center" wrapText="1"/>
    </xf>
    <xf numFmtId="0" fontId="59" fillId="17" borderId="67" xfId="0" applyFont="1" applyFill="1" applyBorder="1" applyAlignment="1">
      <alignment horizontal="justify" vertical="center" wrapText="1"/>
    </xf>
    <xf numFmtId="0" fontId="61" fillId="0" borderId="55" xfId="0" applyFont="1" applyBorder="1" applyAlignment="1">
      <alignment horizontal="center" vertical="center" wrapText="1"/>
    </xf>
    <xf numFmtId="14" fontId="61" fillId="0" borderId="55" xfId="0" applyNumberFormat="1" applyFont="1" applyBorder="1" applyAlignment="1">
      <alignment horizontal="center" vertical="center" wrapText="1"/>
    </xf>
    <xf numFmtId="0" fontId="60" fillId="0" borderId="68" xfId="0" applyFont="1" applyBorder="1" applyAlignment="1" applyProtection="1">
      <alignment horizontal="center" vertical="center" wrapText="1"/>
      <protection locked="0"/>
    </xf>
    <xf numFmtId="0" fontId="59" fillId="3" borderId="63" xfId="0" applyFont="1" applyFill="1" applyBorder="1" applyAlignment="1" applyProtection="1">
      <alignment horizontal="center" vertical="center" wrapText="1"/>
      <protection locked="0"/>
    </xf>
    <xf numFmtId="0" fontId="61" fillId="0" borderId="0" xfId="0" applyFont="1" applyAlignment="1">
      <alignment horizontal="justify" vertical="center" wrapText="1"/>
    </xf>
    <xf numFmtId="0" fontId="59" fillId="0" borderId="24" xfId="0" applyFont="1" applyBorder="1" applyAlignment="1">
      <alignment horizontal="justify" vertical="center" wrapText="1"/>
    </xf>
    <xf numFmtId="0" fontId="61" fillId="0" borderId="24" xfId="0" applyFont="1" applyBorder="1" applyAlignment="1">
      <alignment horizontal="justify" vertical="top"/>
    </xf>
    <xf numFmtId="0" fontId="61" fillId="0" borderId="24" xfId="0" applyFont="1" applyBorder="1" applyAlignment="1">
      <alignment horizontal="justify" vertical="top" wrapText="1"/>
    </xf>
    <xf numFmtId="0" fontId="60" fillId="0" borderId="24" xfId="0" applyFont="1" applyBorder="1" applyAlignment="1" applyProtection="1">
      <alignment horizontal="justify" vertical="top"/>
      <protection locked="0"/>
    </xf>
    <xf numFmtId="0" fontId="61" fillId="0" borderId="72" xfId="0" applyFont="1" applyBorder="1" applyAlignment="1">
      <alignment horizontal="center" vertical="center" wrapText="1"/>
    </xf>
    <xf numFmtId="0" fontId="61" fillId="0" borderId="0" xfId="0" applyFont="1" applyAlignment="1">
      <alignment horizontal="center" vertical="center" wrapText="1"/>
    </xf>
    <xf numFmtId="0" fontId="61" fillId="0" borderId="68" xfId="0" applyFont="1" applyBorder="1" applyAlignment="1">
      <alignment horizontal="center" vertical="center" wrapText="1"/>
    </xf>
    <xf numFmtId="0" fontId="60" fillId="0" borderId="79" xfId="0" applyFont="1" applyBorder="1" applyAlignment="1" applyProtection="1">
      <alignment horizontal="center" vertical="center" wrapText="1"/>
      <protection locked="0"/>
    </xf>
    <xf numFmtId="0" fontId="59" fillId="3" borderId="67" xfId="0" applyFont="1" applyFill="1" applyBorder="1" applyAlignment="1" applyProtection="1">
      <alignment horizontal="center" vertical="center" wrapText="1"/>
      <protection locked="0"/>
    </xf>
    <xf numFmtId="0" fontId="59" fillId="0" borderId="67" xfId="0" applyFont="1" applyBorder="1" applyAlignment="1" applyProtection="1">
      <alignment horizontal="center" vertical="center" wrapText="1"/>
      <protection locked="0"/>
    </xf>
    <xf numFmtId="0" fontId="60" fillId="0" borderId="71" xfId="0" applyFont="1" applyBorder="1" applyAlignment="1" applyProtection="1">
      <alignment horizontal="center" vertical="center" wrapText="1"/>
      <protection locked="0"/>
    </xf>
    <xf numFmtId="0" fontId="60" fillId="0" borderId="0" xfId="0" applyFont="1"/>
    <xf numFmtId="0" fontId="60" fillId="3" borderId="0" xfId="0" applyFont="1" applyFill="1"/>
    <xf numFmtId="0" fontId="63" fillId="0" borderId="0" xfId="0" applyFont="1" applyAlignment="1">
      <alignment horizontal="center" vertical="center"/>
    </xf>
    <xf numFmtId="0" fontId="64" fillId="13" borderId="23" xfId="0" applyFont="1" applyFill="1" applyBorder="1" applyAlignment="1">
      <alignment horizontal="center" vertical="center" textRotation="90"/>
    </xf>
    <xf numFmtId="0" fontId="63" fillId="3" borderId="0" xfId="0" applyFont="1" applyFill="1" applyAlignment="1">
      <alignment horizontal="center" vertical="center"/>
    </xf>
    <xf numFmtId="0" fontId="63" fillId="2" borderId="0" xfId="0" applyFont="1" applyFill="1" applyAlignment="1">
      <alignment horizontal="center" vertical="center"/>
    </xf>
    <xf numFmtId="0" fontId="60" fillId="0" borderId="0" xfId="0" applyFont="1" applyAlignment="1">
      <alignment vertical="center"/>
    </xf>
    <xf numFmtId="0" fontId="63" fillId="0" borderId="24" xfId="0" applyFont="1" applyBorder="1" applyAlignment="1" applyProtection="1">
      <alignment horizontal="center" vertical="center" wrapText="1"/>
      <protection hidden="1"/>
    </xf>
    <xf numFmtId="9" fontId="60" fillId="0" borderId="24" xfId="0" applyNumberFormat="1" applyFont="1" applyBorder="1" applyAlignment="1" applyProtection="1">
      <alignment horizontal="center" vertical="center" wrapText="1"/>
      <protection hidden="1"/>
    </xf>
    <xf numFmtId="9" fontId="60" fillId="0" borderId="24" xfId="0" applyNumberFormat="1" applyFont="1" applyBorder="1" applyAlignment="1" applyProtection="1">
      <alignment horizontal="center" vertical="center" wrapText="1"/>
      <protection locked="0"/>
    </xf>
    <xf numFmtId="0" fontId="63" fillId="0" borderId="24" xfId="0" applyFont="1" applyBorder="1" applyAlignment="1" applyProtection="1">
      <alignment horizontal="center" vertical="center"/>
      <protection hidden="1"/>
    </xf>
    <xf numFmtId="0" fontId="60" fillId="0" borderId="24" xfId="0" applyFont="1" applyBorder="1" applyAlignment="1">
      <alignment horizontal="center" vertical="center"/>
    </xf>
    <xf numFmtId="0" fontId="60" fillId="0" borderId="24" xfId="0" applyFont="1" applyBorder="1" applyAlignment="1" applyProtection="1">
      <alignment horizontal="center" vertical="center"/>
      <protection hidden="1"/>
    </xf>
    <xf numFmtId="0" fontId="60" fillId="0" borderId="24" xfId="0" applyFont="1" applyBorder="1" applyAlignment="1" applyProtection="1">
      <alignment horizontal="center" vertical="center" textRotation="90"/>
      <protection locked="0"/>
    </xf>
    <xf numFmtId="9" fontId="60" fillId="0" borderId="24" xfId="0" applyNumberFormat="1" applyFont="1" applyBorder="1" applyAlignment="1" applyProtection="1">
      <alignment horizontal="center" vertical="center"/>
      <protection hidden="1"/>
    </xf>
    <xf numFmtId="164" fontId="60" fillId="0" borderId="24" xfId="1" applyNumberFormat="1" applyFont="1" applyBorder="1" applyAlignment="1">
      <alignment horizontal="center" vertical="center"/>
    </xf>
    <xf numFmtId="0" fontId="63" fillId="0" borderId="24" xfId="0" applyFont="1" applyBorder="1" applyAlignment="1" applyProtection="1">
      <alignment horizontal="center" vertical="center" textRotation="90" wrapText="1"/>
      <protection hidden="1"/>
    </xf>
    <xf numFmtId="0" fontId="63" fillId="0" borderId="24" xfId="0" applyFont="1" applyBorder="1" applyAlignment="1" applyProtection="1">
      <alignment horizontal="center" vertical="center" textRotation="90"/>
      <protection hidden="1"/>
    </xf>
    <xf numFmtId="14" fontId="60" fillId="0" borderId="24" xfId="0" applyNumberFormat="1" applyFont="1" applyBorder="1" applyAlignment="1" applyProtection="1">
      <alignment horizontal="center" vertical="center"/>
      <protection locked="0"/>
    </xf>
    <xf numFmtId="14" fontId="60" fillId="0" borderId="24" xfId="0" applyNumberFormat="1" applyFont="1" applyBorder="1" applyAlignment="1" applyProtection="1">
      <alignment horizontal="center" vertical="top"/>
      <protection locked="0"/>
    </xf>
    <xf numFmtId="0" fontId="60" fillId="0" borderId="41" xfId="0" applyFont="1" applyBorder="1" applyAlignment="1" applyProtection="1">
      <alignment horizontal="center" vertical="top" wrapText="1"/>
      <protection locked="0"/>
    </xf>
    <xf numFmtId="0" fontId="60" fillId="3" borderId="0" xfId="0" applyFont="1" applyFill="1" applyAlignment="1">
      <alignment vertical="center"/>
    </xf>
    <xf numFmtId="0" fontId="60" fillId="0" borderId="24" xfId="0" applyFont="1" applyBorder="1" applyAlignment="1" applyProtection="1">
      <alignment horizontal="center" vertical="top" textRotation="90"/>
      <protection locked="0"/>
    </xf>
    <xf numFmtId="14" fontId="60" fillId="0" borderId="67" xfId="0" applyNumberFormat="1" applyFont="1" applyBorder="1" applyAlignment="1" applyProtection="1">
      <alignment horizontal="center" vertical="center"/>
      <protection locked="0"/>
    </xf>
    <xf numFmtId="14" fontId="60" fillId="0" borderId="41" xfId="0" applyNumberFormat="1" applyFont="1" applyBorder="1" applyAlignment="1" applyProtection="1">
      <alignment horizontal="center" vertical="top" wrapText="1"/>
      <protection locked="0"/>
    </xf>
    <xf numFmtId="0" fontId="61" fillId="0" borderId="24" xfId="0" applyFont="1" applyBorder="1" applyAlignment="1">
      <alignment horizontal="center" vertical="center" textRotation="90"/>
    </xf>
    <xf numFmtId="0" fontId="60" fillId="0" borderId="41" xfId="0" applyFont="1" applyBorder="1" applyAlignment="1" applyProtection="1">
      <alignment horizontal="center" vertical="top" textRotation="90"/>
      <protection locked="0"/>
    </xf>
    <xf numFmtId="0" fontId="60" fillId="0" borderId="66" xfId="0" applyFont="1" applyBorder="1" applyAlignment="1">
      <alignment horizontal="center" vertical="center" wrapText="1"/>
    </xf>
    <xf numFmtId="0" fontId="60" fillId="0" borderId="66" xfId="0" applyFont="1" applyBorder="1" applyAlignment="1">
      <alignment horizontal="center" vertical="center"/>
    </xf>
    <xf numFmtId="14" fontId="60" fillId="0" borderId="66" xfId="0" applyNumberFormat="1" applyFont="1" applyBorder="1" applyAlignment="1">
      <alignment horizontal="center" vertical="center"/>
    </xf>
    <xf numFmtId="14" fontId="60" fillId="0" borderId="63" xfId="0" applyNumberFormat="1" applyFont="1" applyBorder="1" applyAlignment="1" applyProtection="1">
      <alignment horizontal="center" vertical="center"/>
      <protection locked="0"/>
    </xf>
    <xf numFmtId="14" fontId="60" fillId="0" borderId="41" xfId="0" applyNumberFormat="1" applyFont="1" applyBorder="1" applyAlignment="1" applyProtection="1">
      <alignment horizontal="center" vertical="center" wrapText="1"/>
      <protection locked="0"/>
    </xf>
    <xf numFmtId="0" fontId="60" fillId="0" borderId="55" xfId="0" applyFont="1" applyBorder="1" applyAlignment="1" applyProtection="1">
      <alignment horizontal="center" vertical="top" wrapText="1"/>
      <protection locked="0"/>
    </xf>
    <xf numFmtId="0" fontId="60" fillId="0" borderId="55" xfId="0" applyFont="1" applyBorder="1" applyAlignment="1" applyProtection="1">
      <alignment horizontal="center" vertical="top"/>
      <protection locked="0"/>
    </xf>
    <xf numFmtId="14" fontId="60" fillId="0" borderId="55" xfId="0" applyNumberFormat="1" applyFont="1" applyBorder="1" applyAlignment="1" applyProtection="1">
      <alignment horizontal="center" vertical="top"/>
      <protection locked="0"/>
    </xf>
    <xf numFmtId="0" fontId="60" fillId="0" borderId="24" xfId="0" applyFont="1" applyBorder="1" applyAlignment="1" applyProtection="1">
      <alignment horizontal="center" vertical="top" wrapText="1"/>
      <protection locked="0"/>
    </xf>
    <xf numFmtId="0" fontId="60" fillId="0" borderId="24" xfId="0" applyFont="1" applyBorder="1" applyAlignment="1" applyProtection="1">
      <alignment horizontal="center" vertical="top"/>
      <protection locked="0"/>
    </xf>
    <xf numFmtId="0" fontId="60" fillId="0" borderId="67" xfId="0" applyFont="1" applyBorder="1" applyAlignment="1" applyProtection="1">
      <alignment horizontal="center" vertical="top" wrapText="1"/>
      <protection locked="0"/>
    </xf>
    <xf numFmtId="14" fontId="60" fillId="0" borderId="67" xfId="0" applyNumberFormat="1" applyFont="1" applyBorder="1" applyAlignment="1" applyProtection="1">
      <alignment horizontal="center" vertical="top"/>
      <protection locked="0"/>
    </xf>
    <xf numFmtId="0" fontId="60" fillId="0" borderId="41" xfId="0" applyFont="1" applyBorder="1" applyAlignment="1" applyProtection="1">
      <alignment horizontal="center" vertical="center" textRotation="90"/>
      <protection locked="0"/>
    </xf>
    <xf numFmtId="0" fontId="65" fillId="18" borderId="24" xfId="0" applyFont="1" applyFill="1" applyBorder="1" applyAlignment="1">
      <alignment horizontal="center" vertical="center" textRotation="90" wrapText="1"/>
    </xf>
    <xf numFmtId="0" fontId="61" fillId="0" borderId="24" xfId="0" applyFont="1" applyBorder="1" applyAlignment="1">
      <alignment horizontal="center" vertical="top" wrapText="1"/>
    </xf>
    <xf numFmtId="14" fontId="60" fillId="0" borderId="55" xfId="0" applyNumberFormat="1" applyFont="1" applyBorder="1" applyAlignment="1" applyProtection="1">
      <alignment horizontal="center" vertical="center"/>
      <protection locked="0"/>
    </xf>
    <xf numFmtId="0" fontId="61" fillId="0" borderId="41" xfId="0" applyFont="1" applyBorder="1" applyAlignment="1">
      <alignment horizontal="center" vertical="center" wrapText="1"/>
    </xf>
    <xf numFmtId="0" fontId="60" fillId="0" borderId="0" xfId="0" applyFont="1" applyAlignment="1">
      <alignment horizontal="justify" vertical="center" wrapText="1"/>
    </xf>
    <xf numFmtId="14" fontId="61" fillId="0" borderId="24" xfId="0" applyNumberFormat="1" applyFont="1" applyBorder="1" applyAlignment="1">
      <alignment horizontal="center" vertical="center"/>
    </xf>
    <xf numFmtId="0" fontId="61" fillId="0" borderId="24" xfId="0" applyFont="1" applyBorder="1" applyAlignment="1">
      <alignment horizontal="center" vertical="center"/>
    </xf>
    <xf numFmtId="0" fontId="61" fillId="0" borderId="0" xfId="0" applyFont="1" applyAlignment="1">
      <alignment horizontal="center" vertical="center"/>
    </xf>
    <xf numFmtId="14" fontId="61" fillId="0" borderId="68" xfId="0" applyNumberFormat="1" applyFont="1" applyBorder="1" applyAlignment="1">
      <alignment horizontal="center" vertical="center"/>
    </xf>
    <xf numFmtId="0" fontId="61" fillId="0" borderId="63" xfId="0" applyFont="1" applyBorder="1" applyAlignment="1">
      <alignment horizontal="center" vertical="center"/>
    </xf>
    <xf numFmtId="14" fontId="61" fillId="0" borderId="68" xfId="0" applyNumberFormat="1" applyFont="1" applyBorder="1" applyAlignment="1">
      <alignment horizontal="center" vertical="center" wrapText="1"/>
    </xf>
    <xf numFmtId="14" fontId="60" fillId="0" borderId="68" xfId="0" applyNumberFormat="1" applyFont="1" applyBorder="1" applyAlignment="1" applyProtection="1">
      <alignment horizontal="center" vertical="center" wrapText="1"/>
      <protection locked="0"/>
    </xf>
    <xf numFmtId="14" fontId="60" fillId="0" borderId="73" xfId="0" applyNumberFormat="1" applyFont="1" applyBorder="1" applyAlignment="1" applyProtection="1">
      <alignment horizontal="center" vertical="center" wrapText="1"/>
      <protection locked="0"/>
    </xf>
    <xf numFmtId="0" fontId="61" fillId="0" borderId="69" xfId="0" applyFont="1" applyBorder="1" applyAlignment="1">
      <alignment vertical="top" wrapText="1"/>
    </xf>
    <xf numFmtId="0" fontId="61" fillId="0" borderId="69" xfId="0" applyFont="1" applyBorder="1" applyAlignment="1">
      <alignment horizontal="center" vertical="top" wrapText="1"/>
    </xf>
    <xf numFmtId="14" fontId="61" fillId="0" borderId="69" xfId="0" applyNumberFormat="1" applyFont="1" applyBorder="1" applyAlignment="1">
      <alignment vertical="top"/>
    </xf>
    <xf numFmtId="0" fontId="61" fillId="0" borderId="69" xfId="0" applyFont="1" applyBorder="1" applyAlignment="1">
      <alignment horizontal="center" vertical="center" wrapText="1"/>
    </xf>
    <xf numFmtId="0" fontId="61" fillId="0" borderId="64" xfId="0" applyFont="1" applyBorder="1" applyAlignment="1">
      <alignment horizontal="center" vertical="center" wrapText="1"/>
    </xf>
    <xf numFmtId="0" fontId="61" fillId="0" borderId="67" xfId="0" applyFont="1" applyBorder="1" applyAlignment="1">
      <alignment horizontal="center" vertical="center"/>
    </xf>
    <xf numFmtId="0" fontId="60" fillId="0" borderId="41" xfId="0" applyFont="1" applyBorder="1" applyAlignment="1" applyProtection="1">
      <alignment horizontal="center" vertical="center" textRotation="90" wrapText="1"/>
      <protection locked="0"/>
    </xf>
    <xf numFmtId="0" fontId="60" fillId="0" borderId="65" xfId="0" applyFont="1" applyBorder="1" applyAlignment="1" applyProtection="1">
      <alignment horizontal="center" vertical="top" wrapText="1"/>
      <protection locked="0"/>
    </xf>
    <xf numFmtId="0" fontId="61" fillId="0" borderId="67" xfId="0" applyFont="1" applyBorder="1" applyAlignment="1">
      <alignment horizontal="center" vertical="center" wrapText="1"/>
    </xf>
    <xf numFmtId="14" fontId="61" fillId="0" borderId="67" xfId="0" applyNumberFormat="1" applyFont="1" applyBorder="1" applyAlignment="1">
      <alignment horizontal="center" vertical="center"/>
    </xf>
    <xf numFmtId="0" fontId="61" fillId="0" borderId="68" xfId="0" applyFont="1" applyBorder="1" applyAlignment="1">
      <alignment horizontal="center" vertical="center"/>
    </xf>
    <xf numFmtId="0" fontId="60" fillId="0" borderId="78" xfId="0" applyFont="1" applyBorder="1" applyAlignment="1">
      <alignment horizontal="center" vertical="center" textRotation="90"/>
    </xf>
    <xf numFmtId="0" fontId="60" fillId="0" borderId="78" xfId="0" applyFont="1" applyBorder="1" applyAlignment="1">
      <alignment horizontal="center" vertical="center" textRotation="90" wrapText="1"/>
    </xf>
    <xf numFmtId="0" fontId="60" fillId="0" borderId="41" xfId="0" applyFont="1" applyBorder="1" applyAlignment="1">
      <alignment horizontal="center" vertical="center"/>
    </xf>
    <xf numFmtId="0" fontId="60" fillId="0" borderId="63" xfId="0" applyFont="1" applyBorder="1" applyAlignment="1" applyProtection="1">
      <alignment horizontal="center" vertical="center"/>
      <protection hidden="1"/>
    </xf>
    <xf numFmtId="0" fontId="60" fillId="0" borderId="70" xfId="0" applyFont="1" applyBorder="1" applyAlignment="1">
      <alignment horizontal="center" vertical="center" textRotation="90" wrapText="1"/>
    </xf>
    <xf numFmtId="0" fontId="63" fillId="0" borderId="67" xfId="0" applyFont="1" applyBorder="1" applyAlignment="1" applyProtection="1">
      <alignment horizontal="center" vertical="center" wrapText="1"/>
      <protection hidden="1"/>
    </xf>
    <xf numFmtId="9" fontId="60" fillId="0" borderId="67" xfId="0" applyNumberFormat="1" applyFont="1" applyBorder="1" applyAlignment="1" applyProtection="1">
      <alignment horizontal="center" vertical="center" wrapText="1"/>
      <protection hidden="1"/>
    </xf>
    <xf numFmtId="9" fontId="60" fillId="0" borderId="67" xfId="0" applyNumberFormat="1" applyFont="1" applyBorder="1" applyAlignment="1" applyProtection="1">
      <alignment horizontal="center" vertical="center" wrapText="1"/>
      <protection locked="0"/>
    </xf>
    <xf numFmtId="0" fontId="63" fillId="0" borderId="67" xfId="0" applyFont="1" applyBorder="1" applyAlignment="1" applyProtection="1">
      <alignment horizontal="center" vertical="center"/>
      <protection hidden="1"/>
    </xf>
    <xf numFmtId="0" fontId="60" fillId="0" borderId="67" xfId="0" applyFont="1" applyBorder="1" applyAlignment="1">
      <alignment horizontal="center" vertical="center"/>
    </xf>
    <xf numFmtId="0" fontId="60" fillId="0" borderId="67" xfId="0" applyFont="1" applyBorder="1" applyAlignment="1" applyProtection="1">
      <alignment horizontal="center" vertical="center"/>
      <protection hidden="1"/>
    </xf>
    <xf numFmtId="0" fontId="60" fillId="0" borderId="67" xfId="0" applyFont="1" applyBorder="1" applyAlignment="1" applyProtection="1">
      <alignment horizontal="center" vertical="center" textRotation="90"/>
      <protection locked="0"/>
    </xf>
    <xf numFmtId="9" fontId="60" fillId="0" borderId="67" xfId="0" applyNumberFormat="1" applyFont="1" applyBorder="1" applyAlignment="1" applyProtection="1">
      <alignment horizontal="center" vertical="center"/>
      <protection hidden="1"/>
    </xf>
    <xf numFmtId="164" fontId="60" fillId="0" borderId="67" xfId="1" applyNumberFormat="1" applyFont="1" applyBorder="1" applyAlignment="1">
      <alignment horizontal="center" vertical="center"/>
    </xf>
    <xf numFmtId="0" fontId="63" fillId="0" borderId="67" xfId="0" applyFont="1" applyBorder="1" applyAlignment="1" applyProtection="1">
      <alignment horizontal="center" vertical="center" textRotation="90" wrapText="1"/>
      <protection hidden="1"/>
    </xf>
    <xf numFmtId="0" fontId="63" fillId="0" borderId="67" xfId="0" applyFont="1" applyBorder="1" applyAlignment="1" applyProtection="1">
      <alignment horizontal="center" vertical="center" textRotation="90"/>
      <protection hidden="1"/>
    </xf>
    <xf numFmtId="0" fontId="60" fillId="0" borderId="67" xfId="0" applyFont="1" applyBorder="1" applyAlignment="1" applyProtection="1">
      <alignment horizontal="center" vertical="top" textRotation="90"/>
      <protection locked="0"/>
    </xf>
    <xf numFmtId="0" fontId="60" fillId="0" borderId="67" xfId="0" applyFont="1" applyBorder="1" applyAlignment="1" applyProtection="1">
      <alignment horizontal="center" vertical="top"/>
      <protection locked="0"/>
    </xf>
    <xf numFmtId="0" fontId="60" fillId="0" borderId="64" xfId="0" applyFont="1" applyBorder="1" applyAlignment="1" applyProtection="1">
      <alignment horizontal="center" vertical="top" wrapText="1"/>
      <protection locked="0"/>
    </xf>
    <xf numFmtId="0" fontId="60" fillId="0" borderId="0" xfId="0" applyFont="1" applyAlignment="1" applyProtection="1">
      <alignment horizontal="center" vertical="top"/>
      <protection locked="0"/>
    </xf>
    <xf numFmtId="0" fontId="60" fillId="0" borderId="0" xfId="0" applyFont="1" applyAlignment="1">
      <alignment wrapText="1"/>
    </xf>
    <xf numFmtId="0" fontId="63" fillId="0" borderId="0" xfId="0" applyFont="1" applyAlignment="1">
      <alignment horizontal="left" vertical="center"/>
    </xf>
    <xf numFmtId="0" fontId="60" fillId="0" borderId="0" xfId="0" applyFont="1" applyAlignment="1">
      <alignment horizontal="center" vertical="center" wrapText="1"/>
    </xf>
    <xf numFmtId="0" fontId="60" fillId="0" borderId="0" xfId="0" applyFont="1" applyAlignment="1">
      <alignment horizontal="center" vertical="center"/>
    </xf>
    <xf numFmtId="0" fontId="61" fillId="0" borderId="80" xfId="0" applyFont="1" applyBorder="1" applyAlignment="1">
      <alignment horizontal="justify" vertical="center" wrapText="1"/>
    </xf>
    <xf numFmtId="0" fontId="61" fillId="0" borderId="68" xfId="0" applyFont="1" applyBorder="1" applyAlignment="1">
      <alignment horizontal="justify" vertical="center" wrapText="1"/>
    </xf>
    <xf numFmtId="0" fontId="63" fillId="0" borderId="41" xfId="0" applyFont="1" applyBorder="1" applyAlignment="1" applyProtection="1">
      <alignment horizontal="center" vertical="center" textRotation="90"/>
      <protection hidden="1"/>
    </xf>
    <xf numFmtId="14" fontId="60" fillId="0" borderId="64" xfId="0" applyNumberFormat="1" applyFont="1" applyBorder="1" applyAlignment="1" applyProtection="1">
      <alignment horizontal="center" vertical="top" wrapText="1"/>
      <protection locked="0"/>
    </xf>
    <xf numFmtId="0" fontId="60" fillId="0" borderId="65" xfId="0" applyFont="1" applyBorder="1" applyAlignment="1" applyProtection="1">
      <alignment horizontal="center" vertical="center" textRotation="90"/>
      <protection locked="0"/>
    </xf>
    <xf numFmtId="0" fontId="61" fillId="0" borderId="55" xfId="0" applyFont="1" applyBorder="1" applyAlignment="1">
      <alignment horizontal="center" vertical="center"/>
    </xf>
    <xf numFmtId="14" fontId="61" fillId="0" borderId="55" xfId="0" applyNumberFormat="1" applyFont="1" applyBorder="1" applyAlignment="1">
      <alignment horizontal="center" vertical="center"/>
    </xf>
    <xf numFmtId="0" fontId="61" fillId="0" borderId="65" xfId="0" applyFont="1" applyBorder="1" applyAlignment="1">
      <alignment horizontal="center" vertical="center" wrapText="1"/>
    </xf>
    <xf numFmtId="0" fontId="60" fillId="0" borderId="68" xfId="0" applyFont="1" applyBorder="1" applyAlignment="1" applyProtection="1">
      <alignment horizontal="center" vertical="center" textRotation="90"/>
      <protection locked="0"/>
    </xf>
    <xf numFmtId="0" fontId="60" fillId="0" borderId="68" xfId="0" applyFont="1" applyBorder="1"/>
    <xf numFmtId="14" fontId="60" fillId="0" borderId="68" xfId="0" applyNumberFormat="1" applyFont="1" applyBorder="1" applyAlignment="1" applyProtection="1">
      <alignment horizontal="center" vertical="center"/>
      <protection locked="0"/>
    </xf>
    <xf numFmtId="0" fontId="61" fillId="0" borderId="71" xfId="0" applyFont="1" applyBorder="1" applyAlignment="1">
      <alignment horizontal="justify" vertical="center" wrapText="1"/>
    </xf>
    <xf numFmtId="0" fontId="61" fillId="0" borderId="81" xfId="0" applyFont="1" applyBorder="1" applyAlignment="1">
      <alignment horizontal="justify" vertical="center" wrapText="1"/>
    </xf>
    <xf numFmtId="0" fontId="61" fillId="0" borderId="63" xfId="0" applyFont="1" applyBorder="1" applyAlignment="1">
      <alignment horizontal="justify" vertical="center" wrapText="1"/>
    </xf>
    <xf numFmtId="0" fontId="60" fillId="0" borderId="55" xfId="0" applyFont="1" applyBorder="1" applyAlignment="1">
      <alignment horizontal="center" vertical="center"/>
    </xf>
    <xf numFmtId="0" fontId="60" fillId="0" borderId="68" xfId="0" applyFont="1" applyBorder="1" applyAlignment="1">
      <alignment horizontal="center" vertical="center"/>
    </xf>
    <xf numFmtId="0" fontId="60" fillId="0" borderId="66" xfId="0" applyFont="1" applyBorder="1" applyAlignment="1" applyProtection="1">
      <alignment horizontal="center" vertical="top" wrapText="1"/>
      <protection locked="0"/>
    </xf>
    <xf numFmtId="14" fontId="60" fillId="0" borderId="66" xfId="0" applyNumberFormat="1" applyFont="1" applyBorder="1" applyAlignment="1" applyProtection="1">
      <alignment horizontal="center" vertical="top" wrapText="1"/>
      <protection locked="0"/>
    </xf>
    <xf numFmtId="14" fontId="60" fillId="0" borderId="66" xfId="0" applyNumberFormat="1" applyFont="1" applyBorder="1" applyAlignment="1" applyProtection="1">
      <alignment horizontal="center" vertical="center" wrapText="1"/>
      <protection locked="0"/>
    </xf>
    <xf numFmtId="0" fontId="61" fillId="0" borderId="66" xfId="0" applyFont="1" applyBorder="1" applyAlignment="1">
      <alignment horizontal="center" vertical="center" wrapText="1"/>
    </xf>
    <xf numFmtId="0" fontId="32" fillId="3" borderId="24" xfId="2" applyFont="1" applyFill="1" applyBorder="1" applyAlignment="1">
      <alignment horizontal="left" vertical="center" wrapText="1"/>
    </xf>
    <xf numFmtId="0" fontId="32" fillId="3" borderId="31" xfId="2" applyFont="1" applyFill="1" applyBorder="1" applyAlignment="1">
      <alignment horizontal="left" vertical="center" wrapText="1"/>
    </xf>
    <xf numFmtId="0" fontId="32" fillId="0" borderId="24" xfId="2" applyFont="1" applyBorder="1" applyAlignment="1">
      <alignment horizontal="left" vertical="center" wrapText="1"/>
    </xf>
    <xf numFmtId="0" fontId="32" fillId="0" borderId="31" xfId="2" applyFont="1" applyBorder="1" applyAlignment="1">
      <alignment horizontal="left" vertical="center" wrapText="1"/>
    </xf>
    <xf numFmtId="0" fontId="18" fillId="3" borderId="35" xfId="2" applyFill="1" applyBorder="1" applyAlignment="1">
      <alignment horizontal="left" vertical="top" wrapText="1"/>
    </xf>
    <xf numFmtId="0" fontId="18" fillId="3" borderId="0" xfId="2" applyFill="1" applyAlignment="1">
      <alignment horizontal="left" vertical="top" wrapText="1"/>
    </xf>
    <xf numFmtId="0" fontId="18" fillId="3" borderId="53" xfId="2" applyFill="1" applyBorder="1" applyAlignment="1">
      <alignment horizontal="left" vertical="top" wrapText="1"/>
    </xf>
    <xf numFmtId="0" fontId="31" fillId="3" borderId="30" xfId="2" applyFont="1" applyFill="1" applyBorder="1" applyAlignment="1">
      <alignment horizontal="center" vertical="center" wrapText="1"/>
    </xf>
    <xf numFmtId="0" fontId="31" fillId="3" borderId="24" xfId="2" applyFont="1" applyFill="1" applyBorder="1" applyAlignment="1">
      <alignment horizontal="center" vertical="center" wrapText="1"/>
    </xf>
    <xf numFmtId="0" fontId="32" fillId="3" borderId="30" xfId="0" applyFont="1" applyFill="1" applyBorder="1" applyAlignment="1">
      <alignment horizontal="center" vertical="center" wrapText="1"/>
    </xf>
    <xf numFmtId="0" fontId="32" fillId="3" borderId="24" xfId="0" applyFont="1" applyFill="1" applyBorder="1" applyAlignment="1">
      <alignment horizontal="center" vertical="center" wrapText="1"/>
    </xf>
    <xf numFmtId="0" fontId="31" fillId="3" borderId="24" xfId="2" applyFont="1" applyFill="1" applyBorder="1" applyAlignment="1">
      <alignment horizontal="left" vertical="center" wrapText="1"/>
    </xf>
    <xf numFmtId="0" fontId="31" fillId="3" borderId="31" xfId="2" applyFont="1" applyFill="1" applyBorder="1" applyAlignment="1">
      <alignment horizontal="left" vertical="center" wrapText="1"/>
    </xf>
    <xf numFmtId="0" fontId="31" fillId="3" borderId="48" xfId="0" applyFont="1" applyFill="1" applyBorder="1" applyAlignment="1">
      <alignment horizontal="center" vertical="center" wrapText="1"/>
    </xf>
    <xf numFmtId="0" fontId="31" fillId="3" borderId="49" xfId="0" applyFont="1" applyFill="1" applyBorder="1" applyAlignment="1">
      <alignment horizontal="center" vertical="center" wrapText="1"/>
    </xf>
    <xf numFmtId="0" fontId="31" fillId="3" borderId="50" xfId="0" applyFont="1" applyFill="1" applyBorder="1" applyAlignment="1">
      <alignment horizontal="center" vertical="center" wrapText="1"/>
    </xf>
    <xf numFmtId="0" fontId="25" fillId="0" borderId="25" xfId="0" applyFont="1" applyBorder="1" applyAlignment="1">
      <alignment horizontal="center" vertical="center" wrapText="1"/>
    </xf>
    <xf numFmtId="0" fontId="25" fillId="0" borderId="26" xfId="0" applyFont="1" applyBorder="1" applyAlignment="1">
      <alignment horizontal="center" vertical="center" wrapText="1"/>
    </xf>
    <xf numFmtId="0" fontId="25" fillId="0" borderId="48" xfId="0" applyFont="1" applyBorder="1" applyAlignment="1">
      <alignment horizontal="center" vertical="center" wrapText="1"/>
    </xf>
    <xf numFmtId="0" fontId="25" fillId="0" borderId="49" xfId="0" applyFont="1" applyBorder="1" applyAlignment="1">
      <alignment horizontal="center" vertical="center" wrapText="1"/>
    </xf>
    <xf numFmtId="0" fontId="27" fillId="15" borderId="51" xfId="0" applyFont="1" applyFill="1" applyBorder="1" applyAlignment="1">
      <alignment horizontal="center"/>
    </xf>
    <xf numFmtId="0" fontId="27" fillId="15" borderId="42" xfId="0" applyFont="1" applyFill="1" applyBorder="1" applyAlignment="1">
      <alignment horizontal="center"/>
    </xf>
    <xf numFmtId="0" fontId="27" fillId="15" borderId="43" xfId="0" applyFont="1" applyFill="1" applyBorder="1" applyAlignment="1">
      <alignment horizontal="center"/>
    </xf>
    <xf numFmtId="0" fontId="27" fillId="15" borderId="52" xfId="0" applyFont="1" applyFill="1" applyBorder="1" applyAlignment="1">
      <alignment horizontal="center"/>
    </xf>
    <xf numFmtId="0" fontId="21" fillId="3" borderId="30" xfId="2" quotePrefix="1" applyFont="1" applyFill="1" applyBorder="1" applyAlignment="1">
      <alignment horizontal="justify" vertical="center" wrapText="1"/>
    </xf>
    <xf numFmtId="0" fontId="21" fillId="3" borderId="24" xfId="2" quotePrefix="1" applyFont="1" applyFill="1" applyBorder="1" applyAlignment="1">
      <alignment horizontal="justify" vertical="center" wrapText="1"/>
    </xf>
    <xf numFmtId="0" fontId="21" fillId="3" borderId="31" xfId="2" quotePrefix="1" applyFont="1" applyFill="1" applyBorder="1" applyAlignment="1">
      <alignment horizontal="justify" vertical="center" wrapText="1"/>
    </xf>
    <xf numFmtId="0" fontId="18" fillId="0" borderId="35" xfId="2" quotePrefix="1" applyBorder="1" applyAlignment="1">
      <alignment horizontal="left" vertical="top" wrapText="1"/>
    </xf>
    <xf numFmtId="0" fontId="18" fillId="0" borderId="0" xfId="2" quotePrefix="1" applyAlignment="1">
      <alignment horizontal="left" vertical="top" wrapText="1"/>
    </xf>
    <xf numFmtId="0" fontId="18" fillId="0" borderId="53" xfId="2" quotePrefix="1" applyBorder="1" applyAlignment="1">
      <alignment horizontal="left" vertical="top" wrapText="1"/>
    </xf>
    <xf numFmtId="0" fontId="26" fillId="0" borderId="54" xfId="0" applyFont="1" applyBorder="1" applyAlignment="1">
      <alignment horizontal="center" vertical="center" wrapText="1"/>
    </xf>
    <xf numFmtId="0" fontId="26" fillId="0" borderId="55" xfId="0" applyFont="1" applyBorder="1" applyAlignment="1">
      <alignment horizontal="center" vertical="center" wrapText="1"/>
    </xf>
    <xf numFmtId="0" fontId="26" fillId="0" borderId="56" xfId="0" applyFont="1" applyBorder="1" applyAlignment="1">
      <alignment horizontal="center" vertical="center" wrapText="1"/>
    </xf>
    <xf numFmtId="0" fontId="26" fillId="0" borderId="30" xfId="0" applyFont="1" applyBorder="1" applyAlignment="1">
      <alignment horizontal="center" vertical="center" wrapText="1"/>
    </xf>
    <xf numFmtId="0" fontId="26" fillId="0" borderId="24" xfId="0" applyFont="1" applyBorder="1" applyAlignment="1">
      <alignment horizontal="center" vertical="center" wrapText="1"/>
    </xf>
    <xf numFmtId="0" fontId="26" fillId="0" borderId="31" xfId="0" applyFont="1" applyBorder="1" applyAlignment="1">
      <alignment horizontal="center" vertical="center" wrapText="1"/>
    </xf>
    <xf numFmtId="0" fontId="24" fillId="15" borderId="45" xfId="2" applyFont="1" applyFill="1" applyBorder="1" applyAlignment="1">
      <alignment horizontal="center" vertical="center"/>
    </xf>
    <xf numFmtId="0" fontId="24" fillId="15" borderId="46" xfId="2" applyFont="1" applyFill="1" applyBorder="1" applyAlignment="1">
      <alignment horizontal="center" vertical="center"/>
    </xf>
    <xf numFmtId="0" fontId="24" fillId="15" borderId="47" xfId="2" applyFont="1" applyFill="1" applyBorder="1" applyAlignment="1">
      <alignment horizontal="center" vertical="center"/>
    </xf>
    <xf numFmtId="0" fontId="59" fillId="0" borderId="24" xfId="0" applyFont="1" applyBorder="1" applyAlignment="1" applyProtection="1">
      <alignment horizontal="center" vertical="center" wrapText="1"/>
      <protection locked="0"/>
    </xf>
    <xf numFmtId="0" fontId="60" fillId="0" borderId="63" xfId="0" applyFont="1" applyBorder="1" applyAlignment="1" applyProtection="1">
      <alignment horizontal="center" vertical="center" wrapText="1"/>
      <protection locked="0"/>
    </xf>
    <xf numFmtId="0" fontId="63" fillId="0" borderId="24" xfId="0" applyFont="1" applyBorder="1" applyAlignment="1" applyProtection="1">
      <alignment horizontal="center" vertical="center" wrapText="1"/>
      <protection hidden="1"/>
    </xf>
    <xf numFmtId="9" fontId="60" fillId="0" borderId="24" xfId="0" applyNumberFormat="1" applyFont="1" applyBorder="1" applyAlignment="1" applyProtection="1">
      <alignment horizontal="center" vertical="center" wrapText="1"/>
      <protection hidden="1"/>
    </xf>
    <xf numFmtId="9" fontId="60" fillId="0" borderId="24" xfId="0" applyNumberFormat="1" applyFont="1" applyBorder="1" applyAlignment="1" applyProtection="1">
      <alignment horizontal="center" vertical="center" wrapText="1"/>
      <protection locked="0"/>
    </xf>
    <xf numFmtId="0" fontId="63" fillId="0" borderId="24" xfId="0" applyFont="1" applyBorder="1" applyAlignment="1" applyProtection="1">
      <alignment horizontal="center" vertical="center"/>
      <protection hidden="1"/>
    </xf>
    <xf numFmtId="0" fontId="60" fillId="0" borderId="78" xfId="0" applyFont="1" applyBorder="1" applyAlignment="1">
      <alignment horizontal="center" vertical="center" textRotation="90"/>
    </xf>
    <xf numFmtId="0" fontId="60" fillId="0" borderId="68" xfId="0" applyFont="1" applyBorder="1" applyAlignment="1" applyProtection="1">
      <alignment horizontal="center" vertical="center" wrapText="1"/>
      <protection locked="0"/>
    </xf>
    <xf numFmtId="0" fontId="59" fillId="3" borderId="63" xfId="0" applyFont="1" applyFill="1" applyBorder="1" applyAlignment="1" applyProtection="1">
      <alignment horizontal="center" vertical="center" wrapText="1"/>
      <protection locked="0"/>
    </xf>
    <xf numFmtId="0" fontId="60" fillId="0" borderId="24" xfId="0" applyFont="1" applyBorder="1" applyAlignment="1" applyProtection="1">
      <alignment horizontal="center" vertical="center" wrapText="1"/>
      <protection locked="0"/>
    </xf>
    <xf numFmtId="0" fontId="60" fillId="0" borderId="30" xfId="0" applyFont="1" applyBorder="1" applyAlignment="1">
      <alignment horizontal="center" vertical="center" textRotation="90"/>
    </xf>
    <xf numFmtId="0" fontId="60" fillId="0" borderId="67" xfId="0" applyFont="1" applyBorder="1" applyAlignment="1" applyProtection="1">
      <alignment horizontal="center" vertical="center" wrapText="1"/>
      <protection locked="0"/>
    </xf>
    <xf numFmtId="0" fontId="60" fillId="0" borderId="69" xfId="0" applyFont="1" applyBorder="1" applyAlignment="1" applyProtection="1">
      <alignment horizontal="center" vertical="center" wrapText="1"/>
      <protection locked="0"/>
    </xf>
    <xf numFmtId="0" fontId="59" fillId="3" borderId="24" xfId="0" applyFont="1" applyFill="1" applyBorder="1" applyAlignment="1" applyProtection="1">
      <alignment horizontal="center" vertical="center" wrapText="1"/>
      <protection locked="0"/>
    </xf>
    <xf numFmtId="0" fontId="60" fillId="0" borderId="30" xfId="0" applyFont="1" applyBorder="1" applyAlignment="1">
      <alignment horizontal="center" vertical="center" textRotation="90" wrapText="1"/>
    </xf>
    <xf numFmtId="0" fontId="63" fillId="0" borderId="55" xfId="0" applyFont="1" applyBorder="1" applyAlignment="1" applyProtection="1">
      <alignment horizontal="center" vertical="center"/>
      <protection hidden="1"/>
    </xf>
    <xf numFmtId="0" fontId="60" fillId="0" borderId="55" xfId="0" applyFont="1" applyBorder="1" applyAlignment="1" applyProtection="1">
      <alignment horizontal="center" vertical="center" wrapText="1"/>
      <protection locked="0"/>
    </xf>
    <xf numFmtId="0" fontId="63" fillId="0" borderId="67" xfId="0" applyFont="1" applyBorder="1" applyAlignment="1" applyProtection="1">
      <alignment horizontal="center" vertical="center"/>
      <protection hidden="1"/>
    </xf>
    <xf numFmtId="9" fontId="60" fillId="0" borderId="41" xfId="0" applyNumberFormat="1" applyFont="1" applyBorder="1" applyAlignment="1" applyProtection="1">
      <alignment horizontal="center" vertical="center" wrapText="1"/>
      <protection hidden="1"/>
    </xf>
    <xf numFmtId="0" fontId="63" fillId="0" borderId="68" xfId="0" applyFont="1" applyBorder="1" applyAlignment="1" applyProtection="1">
      <alignment horizontal="center" vertical="center"/>
      <protection hidden="1"/>
    </xf>
    <xf numFmtId="0" fontId="60" fillId="0" borderId="41" xfId="0" applyFont="1" applyBorder="1" applyAlignment="1" applyProtection="1">
      <alignment horizontal="center" vertical="center" wrapText="1"/>
      <protection locked="0"/>
    </xf>
    <xf numFmtId="0" fontId="63" fillId="0" borderId="69" xfId="0" applyFont="1" applyBorder="1" applyAlignment="1" applyProtection="1">
      <alignment horizontal="center" vertical="center"/>
      <protection hidden="1"/>
    </xf>
    <xf numFmtId="0" fontId="60" fillId="3" borderId="30" xfId="0" applyFont="1" applyFill="1" applyBorder="1" applyAlignment="1">
      <alignment horizontal="center" vertical="center" textRotation="90"/>
    </xf>
    <xf numFmtId="0" fontId="59" fillId="0" borderId="74" xfId="0" applyFont="1" applyBorder="1" applyAlignment="1">
      <alignment horizontal="center" vertical="center" wrapText="1"/>
    </xf>
    <xf numFmtId="0" fontId="59" fillId="0" borderId="75" xfId="0" applyFont="1" applyBorder="1" applyAlignment="1">
      <alignment horizontal="center" vertical="center" wrapText="1"/>
    </xf>
    <xf numFmtId="0" fontId="59" fillId="0" borderId="76" xfId="0" applyFont="1" applyBorder="1" applyAlignment="1">
      <alignment horizontal="center" vertical="center" wrapText="1"/>
    </xf>
    <xf numFmtId="0" fontId="64" fillId="14" borderId="19" xfId="0" applyFont="1" applyFill="1" applyBorder="1" applyAlignment="1">
      <alignment horizontal="center" vertical="center"/>
    </xf>
    <xf numFmtId="0" fontId="64" fillId="14" borderId="20" xfId="0" applyFont="1" applyFill="1" applyBorder="1" applyAlignment="1">
      <alignment horizontal="center" vertical="center"/>
    </xf>
    <xf numFmtId="0" fontId="64" fillId="14" borderId="21" xfId="0" applyFont="1" applyFill="1" applyBorder="1" applyAlignment="1">
      <alignment horizontal="center" vertical="center"/>
    </xf>
    <xf numFmtId="0" fontId="64" fillId="13" borderId="22" xfId="0" applyFont="1" applyFill="1" applyBorder="1" applyAlignment="1">
      <alignment horizontal="center" vertical="center"/>
    </xf>
    <xf numFmtId="0" fontId="64" fillId="14" borderId="22" xfId="0" applyFont="1" applyFill="1" applyBorder="1" applyAlignment="1">
      <alignment horizontal="center" vertical="center"/>
    </xf>
    <xf numFmtId="0" fontId="64" fillId="13" borderId="19" xfId="0" applyFont="1" applyFill="1" applyBorder="1" applyAlignment="1">
      <alignment horizontal="center" vertical="center"/>
    </xf>
    <xf numFmtId="0" fontId="64" fillId="13" borderId="18" xfId="0" applyFont="1" applyFill="1" applyBorder="1" applyAlignment="1">
      <alignment horizontal="center" vertical="center" wrapText="1"/>
    </xf>
    <xf numFmtId="0" fontId="64" fillId="13" borderId="23" xfId="0" applyFont="1" applyFill="1" applyBorder="1" applyAlignment="1">
      <alignment horizontal="center" vertical="center" wrapText="1"/>
    </xf>
    <xf numFmtId="0" fontId="64" fillId="13" borderId="39" xfId="0" applyFont="1" applyFill="1" applyBorder="1" applyAlignment="1">
      <alignment horizontal="center" vertical="center" wrapText="1"/>
    </xf>
    <xf numFmtId="0" fontId="64" fillId="13" borderId="40" xfId="0" applyFont="1" applyFill="1" applyBorder="1" applyAlignment="1">
      <alignment horizontal="center" vertical="center" wrapText="1"/>
    </xf>
    <xf numFmtId="0" fontId="64" fillId="14" borderId="18" xfId="0" applyFont="1" applyFill="1" applyBorder="1" applyAlignment="1">
      <alignment horizontal="center" vertical="center" textRotation="90" wrapText="1"/>
    </xf>
    <xf numFmtId="0" fontId="64" fillId="14" borderId="23" xfId="0" applyFont="1" applyFill="1" applyBorder="1" applyAlignment="1">
      <alignment horizontal="center" vertical="center" textRotation="90" wrapText="1"/>
    </xf>
    <xf numFmtId="0" fontId="64" fillId="13" borderId="18" xfId="0" applyFont="1" applyFill="1" applyBorder="1" applyAlignment="1">
      <alignment horizontal="center" vertical="center" textRotation="90" wrapText="1"/>
    </xf>
    <xf numFmtId="0" fontId="64" fillId="13" borderId="23" xfId="0" applyFont="1" applyFill="1" applyBorder="1" applyAlignment="1">
      <alignment horizontal="center" vertical="center" textRotation="90" wrapText="1"/>
    </xf>
    <xf numFmtId="0" fontId="64" fillId="14" borderId="18" xfId="0" applyFont="1" applyFill="1" applyBorder="1" applyAlignment="1">
      <alignment horizontal="center" vertical="center" wrapText="1"/>
    </xf>
    <xf numFmtId="0" fontId="64" fillId="14" borderId="23" xfId="0" applyFont="1" applyFill="1" applyBorder="1" applyAlignment="1">
      <alignment horizontal="center" vertical="center" wrapText="1"/>
    </xf>
    <xf numFmtId="0" fontId="64" fillId="14" borderId="18" xfId="0" applyFont="1" applyFill="1" applyBorder="1" applyAlignment="1">
      <alignment horizontal="center" vertical="center"/>
    </xf>
    <xf numFmtId="0" fontId="64" fillId="14" borderId="23" xfId="0" applyFont="1" applyFill="1" applyBorder="1" applyAlignment="1">
      <alignment horizontal="center" vertical="center"/>
    </xf>
    <xf numFmtId="0" fontId="64" fillId="13" borderId="18" xfId="0" applyFont="1" applyFill="1" applyBorder="1" applyAlignment="1">
      <alignment horizontal="center" vertical="center"/>
    </xf>
    <xf numFmtId="0" fontId="64" fillId="13" borderId="23" xfId="0" applyFont="1" applyFill="1" applyBorder="1" applyAlignment="1">
      <alignment horizontal="center" vertical="center"/>
    </xf>
    <xf numFmtId="0" fontId="64" fillId="13" borderId="27" xfId="0" applyFont="1" applyFill="1" applyBorder="1" applyAlignment="1">
      <alignment horizontal="center" vertical="center" wrapText="1"/>
    </xf>
    <xf numFmtId="0" fontId="64" fillId="13" borderId="20" xfId="0" applyFont="1" applyFill="1" applyBorder="1" applyAlignment="1">
      <alignment horizontal="center" vertical="center"/>
    </xf>
    <xf numFmtId="0" fontId="64" fillId="13" borderId="21" xfId="0" applyFont="1" applyFill="1" applyBorder="1" applyAlignment="1">
      <alignment horizontal="center" vertical="center"/>
    </xf>
    <xf numFmtId="0" fontId="60" fillId="0" borderId="64" xfId="0" applyFont="1" applyBorder="1" applyAlignment="1" applyProtection="1">
      <alignment horizontal="center" vertical="center" wrapText="1"/>
      <protection locked="0"/>
    </xf>
    <xf numFmtId="0" fontId="60" fillId="0" borderId="65" xfId="0" applyFont="1" applyBorder="1" applyAlignment="1" applyProtection="1">
      <alignment horizontal="center" vertical="center" wrapText="1"/>
      <protection locked="0"/>
    </xf>
    <xf numFmtId="0" fontId="64" fillId="13" borderId="28" xfId="0" applyFont="1" applyFill="1" applyBorder="1" applyAlignment="1">
      <alignment horizontal="center" vertical="center" textRotation="90" wrapText="1"/>
    </xf>
    <xf numFmtId="0" fontId="64" fillId="13" borderId="29" xfId="0" applyFont="1" applyFill="1" applyBorder="1" applyAlignment="1">
      <alignment horizontal="center" vertical="center" textRotation="90" wrapText="1"/>
    </xf>
    <xf numFmtId="0" fontId="60" fillId="0" borderId="78" xfId="0" applyFont="1" applyBorder="1" applyAlignment="1">
      <alignment horizontal="center" vertical="center" textRotation="90" wrapText="1"/>
    </xf>
    <xf numFmtId="0" fontId="21" fillId="16" borderId="24" xfId="0" applyFont="1" applyFill="1" applyBorder="1" applyAlignment="1" applyProtection="1">
      <alignment horizontal="center" vertical="top" wrapText="1"/>
      <protection locked="0"/>
    </xf>
    <xf numFmtId="0" fontId="6" fillId="9" borderId="0" xfId="0" applyFont="1" applyFill="1" applyAlignment="1">
      <alignment horizontal="center" vertical="center" textRotation="90" wrapText="1" readingOrder="1"/>
    </xf>
    <xf numFmtId="0" fontId="6" fillId="9" borderId="5" xfId="0" applyFont="1" applyFill="1" applyBorder="1" applyAlignment="1">
      <alignment horizontal="center" vertical="center" textRotation="90" wrapText="1" readingOrder="1"/>
    </xf>
    <xf numFmtId="0" fontId="9" fillId="11" borderId="10" xfId="0" applyFont="1" applyFill="1" applyBorder="1" applyAlignment="1">
      <alignment horizontal="center" vertical="center" wrapText="1" readingOrder="1"/>
    </xf>
    <xf numFmtId="0" fontId="9" fillId="11" borderId="11" xfId="0" applyFont="1" applyFill="1" applyBorder="1" applyAlignment="1">
      <alignment horizontal="center" vertical="center" wrapText="1" readingOrder="1"/>
    </xf>
    <xf numFmtId="0" fontId="9" fillId="11" borderId="12" xfId="0" applyFont="1" applyFill="1" applyBorder="1" applyAlignment="1">
      <alignment horizontal="center" vertical="center" wrapText="1" readingOrder="1"/>
    </xf>
    <xf numFmtId="0" fontId="9" fillId="11" borderId="13" xfId="0" applyFont="1" applyFill="1" applyBorder="1" applyAlignment="1">
      <alignment horizontal="center" vertical="center" wrapText="1" readingOrder="1"/>
    </xf>
    <xf numFmtId="0" fontId="9" fillId="11" borderId="0" xfId="0" applyFont="1" applyFill="1" applyAlignment="1">
      <alignment horizontal="center" vertical="center" wrapText="1" readingOrder="1"/>
    </xf>
    <xf numFmtId="0" fontId="9" fillId="11" borderId="14" xfId="0" applyFont="1" applyFill="1" applyBorder="1" applyAlignment="1">
      <alignment horizontal="center" vertical="center" wrapText="1" readingOrder="1"/>
    </xf>
    <xf numFmtId="0" fontId="9" fillId="11" borderId="15" xfId="0" applyFont="1" applyFill="1" applyBorder="1" applyAlignment="1">
      <alignment horizontal="center" vertical="center" wrapText="1" readingOrder="1"/>
    </xf>
    <xf numFmtId="0" fontId="9" fillId="11" borderId="16" xfId="0" applyFont="1" applyFill="1" applyBorder="1" applyAlignment="1">
      <alignment horizontal="center" vertical="center" wrapText="1" readingOrder="1"/>
    </xf>
    <xf numFmtId="0" fontId="9" fillId="11" borderId="17" xfId="0" applyFont="1" applyFill="1" applyBorder="1" applyAlignment="1">
      <alignment horizontal="center" vertical="center" wrapText="1" readingOrder="1"/>
    </xf>
    <xf numFmtId="0" fontId="9" fillId="10" borderId="10" xfId="0" applyFont="1" applyFill="1" applyBorder="1" applyAlignment="1">
      <alignment horizontal="center" vertical="center" wrapText="1" readingOrder="1"/>
    </xf>
    <xf numFmtId="0" fontId="9" fillId="10" borderId="11" xfId="0" applyFont="1" applyFill="1" applyBorder="1" applyAlignment="1">
      <alignment horizontal="center" vertical="center" wrapText="1" readingOrder="1"/>
    </xf>
    <xf numFmtId="0" fontId="9" fillId="10" borderId="12" xfId="0" applyFont="1" applyFill="1" applyBorder="1" applyAlignment="1">
      <alignment horizontal="center" vertical="center" wrapText="1" readingOrder="1"/>
    </xf>
    <xf numFmtId="0" fontId="9" fillId="10" borderId="13" xfId="0" applyFont="1" applyFill="1" applyBorder="1" applyAlignment="1">
      <alignment horizontal="center" vertical="center" wrapText="1" readingOrder="1"/>
    </xf>
    <xf numFmtId="0" fontId="9" fillId="10" borderId="0" xfId="0" applyFont="1" applyFill="1" applyAlignment="1">
      <alignment horizontal="center" vertical="center" wrapText="1" readingOrder="1"/>
    </xf>
    <xf numFmtId="0" fontId="9" fillId="10" borderId="14" xfId="0" applyFont="1" applyFill="1" applyBorder="1" applyAlignment="1">
      <alignment horizontal="center" vertical="center" wrapText="1" readingOrder="1"/>
    </xf>
    <xf numFmtId="0" fontId="9" fillId="10" borderId="15" xfId="0" applyFont="1" applyFill="1" applyBorder="1" applyAlignment="1">
      <alignment horizontal="center" vertical="center" wrapText="1" readingOrder="1"/>
    </xf>
    <xf numFmtId="0" fontId="9" fillId="10" borderId="16" xfId="0" applyFont="1" applyFill="1" applyBorder="1" applyAlignment="1">
      <alignment horizontal="center" vertical="center" wrapText="1" readingOrder="1"/>
    </xf>
    <xf numFmtId="0" fontId="9" fillId="10" borderId="17" xfId="0" applyFont="1" applyFill="1" applyBorder="1" applyAlignment="1">
      <alignment horizontal="center" vertical="center" wrapText="1" readingOrder="1"/>
    </xf>
    <xf numFmtId="0" fontId="9" fillId="12" borderId="10" xfId="0" applyFont="1" applyFill="1" applyBorder="1" applyAlignment="1">
      <alignment horizontal="center" vertical="center" wrapText="1" readingOrder="1"/>
    </xf>
    <xf numFmtId="0" fontId="9" fillId="12" borderId="11" xfId="0" applyFont="1" applyFill="1" applyBorder="1" applyAlignment="1">
      <alignment horizontal="center" vertical="center" wrapText="1" readingOrder="1"/>
    </xf>
    <xf numFmtId="0" fontId="9" fillId="12" borderId="12" xfId="0" applyFont="1" applyFill="1" applyBorder="1" applyAlignment="1">
      <alignment horizontal="center" vertical="center" wrapText="1" readingOrder="1"/>
    </xf>
    <xf numFmtId="0" fontId="9" fillId="12" borderId="13" xfId="0" applyFont="1" applyFill="1" applyBorder="1" applyAlignment="1">
      <alignment horizontal="center" vertical="center" wrapText="1" readingOrder="1"/>
    </xf>
    <xf numFmtId="0" fontId="9" fillId="12" borderId="0" xfId="0" applyFont="1" applyFill="1" applyAlignment="1">
      <alignment horizontal="center" vertical="center" wrapText="1" readingOrder="1"/>
    </xf>
    <xf numFmtId="0" fontId="9" fillId="12" borderId="14" xfId="0" applyFont="1" applyFill="1" applyBorder="1" applyAlignment="1">
      <alignment horizontal="center" vertical="center" wrapText="1" readingOrder="1"/>
    </xf>
    <xf numFmtId="0" fontId="9" fillId="12" borderId="15" xfId="0" applyFont="1" applyFill="1" applyBorder="1" applyAlignment="1">
      <alignment horizontal="center" vertical="center" wrapText="1" readingOrder="1"/>
    </xf>
    <xf numFmtId="0" fontId="9" fillId="12" borderId="16" xfId="0" applyFont="1" applyFill="1" applyBorder="1" applyAlignment="1">
      <alignment horizontal="center" vertical="center" wrapText="1" readingOrder="1"/>
    </xf>
    <xf numFmtId="0" fontId="9" fillId="12" borderId="17" xfId="0" applyFont="1" applyFill="1" applyBorder="1" applyAlignment="1">
      <alignment horizontal="center" vertical="center" wrapText="1" readingOrder="1"/>
    </xf>
    <xf numFmtId="0" fontId="9" fillId="5" borderId="10" xfId="0" applyFont="1" applyFill="1" applyBorder="1" applyAlignment="1">
      <alignment horizontal="center" vertical="center" wrapText="1" readingOrder="1"/>
    </xf>
    <xf numFmtId="0" fontId="9" fillId="5" borderId="11" xfId="0" applyFont="1" applyFill="1" applyBorder="1" applyAlignment="1">
      <alignment horizontal="center" vertical="center" wrapText="1" readingOrder="1"/>
    </xf>
    <xf numFmtId="0" fontId="9" fillId="5" borderId="12" xfId="0" applyFont="1" applyFill="1" applyBorder="1" applyAlignment="1">
      <alignment horizontal="center" vertical="center" wrapText="1" readingOrder="1"/>
    </xf>
    <xf numFmtId="0" fontId="9" fillId="5" borderId="13" xfId="0" applyFont="1" applyFill="1" applyBorder="1" applyAlignment="1">
      <alignment horizontal="center" vertical="center" wrapText="1" readingOrder="1"/>
    </xf>
    <xf numFmtId="0" fontId="9" fillId="5" borderId="0" xfId="0" applyFont="1" applyFill="1" applyAlignment="1">
      <alignment horizontal="center" vertical="center" wrapText="1" readingOrder="1"/>
    </xf>
    <xf numFmtId="0" fontId="9" fillId="5" borderId="14" xfId="0" applyFont="1" applyFill="1" applyBorder="1" applyAlignment="1">
      <alignment horizontal="center" vertical="center" wrapText="1" readingOrder="1"/>
    </xf>
    <xf numFmtId="0" fontId="9" fillId="5" borderId="15" xfId="0" applyFont="1" applyFill="1" applyBorder="1" applyAlignment="1">
      <alignment horizontal="center" vertical="center" wrapText="1" readingOrder="1"/>
    </xf>
    <xf numFmtId="0" fontId="9" fillId="5" borderId="16" xfId="0" applyFont="1" applyFill="1" applyBorder="1" applyAlignment="1">
      <alignment horizontal="center" vertical="center" wrapText="1" readingOrder="1"/>
    </xf>
    <xf numFmtId="0" fontId="9" fillId="5" borderId="17" xfId="0" applyFont="1" applyFill="1" applyBorder="1" applyAlignment="1">
      <alignment horizontal="center" vertical="center" wrapText="1" readingOrder="1"/>
    </xf>
    <xf numFmtId="0" fontId="5" fillId="0" borderId="2" xfId="0" applyFont="1" applyBorder="1" applyAlignment="1">
      <alignment horizontal="center" vertical="center" wrapText="1"/>
    </xf>
    <xf numFmtId="0" fontId="5" fillId="0" borderId="9"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8" fillId="10" borderId="0" xfId="0" applyFont="1" applyFill="1" applyAlignment="1" applyProtection="1">
      <alignment horizontal="center" vertical="center" wrapText="1" readingOrder="1"/>
      <protection hidden="1"/>
    </xf>
    <xf numFmtId="0" fontId="8" fillId="10" borderId="5" xfId="0" applyFont="1" applyFill="1" applyBorder="1" applyAlignment="1" applyProtection="1">
      <alignment horizontal="center" vertical="center" wrapText="1" readingOrder="1"/>
      <protection hidden="1"/>
    </xf>
    <xf numFmtId="0" fontId="8" fillId="10" borderId="2" xfId="0" applyFont="1" applyFill="1" applyBorder="1" applyAlignment="1" applyProtection="1">
      <alignment horizontal="center" vertical="center" wrapText="1" readingOrder="1"/>
      <protection hidden="1"/>
    </xf>
    <xf numFmtId="0" fontId="8" fillId="10" borderId="9" xfId="0" applyFont="1" applyFill="1" applyBorder="1" applyAlignment="1" applyProtection="1">
      <alignment horizontal="center" vertical="center" wrapText="1" readingOrder="1"/>
      <protection hidden="1"/>
    </xf>
    <xf numFmtId="0" fontId="8" fillId="10" borderId="4" xfId="0" applyFont="1" applyFill="1" applyBorder="1" applyAlignment="1" applyProtection="1">
      <alignment horizontal="center" vertical="center" wrapText="1" readingOrder="1"/>
      <protection hidden="1"/>
    </xf>
    <xf numFmtId="0" fontId="8" fillId="10" borderId="3" xfId="0" applyFont="1" applyFill="1" applyBorder="1" applyAlignment="1" applyProtection="1">
      <alignment horizontal="center" vertical="center" wrapText="1" readingOrder="1"/>
      <protection hidden="1"/>
    </xf>
    <xf numFmtId="0" fontId="6" fillId="9" borderId="0" xfId="0" applyFont="1" applyFill="1" applyAlignment="1">
      <alignment horizontal="center" vertical="center" wrapText="1" readingOrder="1"/>
    </xf>
    <xf numFmtId="0" fontId="5" fillId="0" borderId="9" xfId="0" applyFont="1" applyBorder="1" applyAlignment="1">
      <alignment horizontal="center" vertical="center" wrapText="1"/>
    </xf>
    <xf numFmtId="0" fontId="8" fillId="10" borderId="6" xfId="0" applyFont="1" applyFill="1" applyBorder="1" applyAlignment="1" applyProtection="1">
      <alignment horizontal="center" vertical="center" wrapText="1" readingOrder="1"/>
      <protection hidden="1"/>
    </xf>
    <xf numFmtId="0" fontId="8" fillId="10" borderId="8" xfId="0" applyFont="1" applyFill="1" applyBorder="1" applyAlignment="1" applyProtection="1">
      <alignment horizontal="center" vertical="center" wrapText="1" readingOrder="1"/>
      <protection hidden="1"/>
    </xf>
    <xf numFmtId="0" fontId="8" fillId="10" borderId="7" xfId="0" applyFont="1" applyFill="1" applyBorder="1" applyAlignment="1" applyProtection="1">
      <alignment horizontal="center" vertical="center" wrapText="1" readingOrder="1"/>
      <protection hidden="1"/>
    </xf>
    <xf numFmtId="0" fontId="8" fillId="11" borderId="4" xfId="0" applyFont="1" applyFill="1" applyBorder="1" applyAlignment="1" applyProtection="1">
      <alignment horizontal="center" wrapText="1" readingOrder="1"/>
      <protection hidden="1"/>
    </xf>
    <xf numFmtId="0" fontId="8" fillId="11" borderId="0" xfId="0" applyFont="1" applyFill="1" applyAlignment="1" applyProtection="1">
      <alignment horizontal="center" wrapText="1" readingOrder="1"/>
      <protection hidden="1"/>
    </xf>
    <xf numFmtId="0" fontId="8" fillId="11" borderId="5" xfId="0" applyFont="1" applyFill="1" applyBorder="1" applyAlignment="1" applyProtection="1">
      <alignment horizontal="center" wrapText="1" readingOrder="1"/>
      <protection hidden="1"/>
    </xf>
    <xf numFmtId="0" fontId="8" fillId="11" borderId="6" xfId="0" applyFont="1" applyFill="1" applyBorder="1" applyAlignment="1" applyProtection="1">
      <alignment horizontal="center" wrapText="1" readingOrder="1"/>
      <protection hidden="1"/>
    </xf>
    <xf numFmtId="0" fontId="8" fillId="11" borderId="8" xfId="0" applyFont="1" applyFill="1" applyBorder="1" applyAlignment="1" applyProtection="1">
      <alignment horizontal="center" wrapText="1" readingOrder="1"/>
      <protection hidden="1"/>
    </xf>
    <xf numFmtId="0" fontId="8" fillId="11" borderId="7" xfId="0" applyFont="1" applyFill="1" applyBorder="1" applyAlignment="1" applyProtection="1">
      <alignment horizontal="center" wrapText="1" readingOrder="1"/>
      <protection hidden="1"/>
    </xf>
    <xf numFmtId="0" fontId="8" fillId="11" borderId="2" xfId="0" applyFont="1" applyFill="1" applyBorder="1" applyAlignment="1" applyProtection="1">
      <alignment horizontal="center" wrapText="1" readingOrder="1"/>
      <protection hidden="1"/>
    </xf>
    <xf numFmtId="0" fontId="8" fillId="11" borderId="9" xfId="0" applyFont="1" applyFill="1" applyBorder="1" applyAlignment="1" applyProtection="1">
      <alignment horizontal="center" wrapText="1" readingOrder="1"/>
      <protection hidden="1"/>
    </xf>
    <xf numFmtId="0" fontId="8" fillId="11" borderId="3" xfId="0" applyFont="1" applyFill="1" applyBorder="1" applyAlignment="1" applyProtection="1">
      <alignment horizontal="center" wrapText="1" readingOrder="1"/>
      <protection hidden="1"/>
    </xf>
    <xf numFmtId="0" fontId="8" fillId="12" borderId="4" xfId="0" applyFont="1" applyFill="1" applyBorder="1" applyAlignment="1" applyProtection="1">
      <alignment horizontal="center" wrapText="1" readingOrder="1"/>
      <protection hidden="1"/>
    </xf>
    <xf numFmtId="0" fontId="8" fillId="12" borderId="0" xfId="0" applyFont="1" applyFill="1" applyAlignment="1" applyProtection="1">
      <alignment horizontal="center" wrapText="1" readingOrder="1"/>
      <protection hidden="1"/>
    </xf>
    <xf numFmtId="0" fontId="8" fillId="12" borderId="5" xfId="0" applyFont="1" applyFill="1" applyBorder="1" applyAlignment="1" applyProtection="1">
      <alignment horizontal="center" wrapText="1" readingOrder="1"/>
      <protection hidden="1"/>
    </xf>
    <xf numFmtId="0" fontId="8" fillId="12" borderId="6" xfId="0" applyFont="1" applyFill="1" applyBorder="1" applyAlignment="1" applyProtection="1">
      <alignment horizontal="center" wrapText="1" readingOrder="1"/>
      <protection hidden="1"/>
    </xf>
    <xf numFmtId="0" fontId="8" fillId="12" borderId="8" xfId="0" applyFont="1" applyFill="1" applyBorder="1" applyAlignment="1" applyProtection="1">
      <alignment horizontal="center" wrapText="1" readingOrder="1"/>
      <protection hidden="1"/>
    </xf>
    <xf numFmtId="0" fontId="8" fillId="12" borderId="7" xfId="0" applyFont="1" applyFill="1" applyBorder="1" applyAlignment="1" applyProtection="1">
      <alignment horizontal="center" wrapText="1" readingOrder="1"/>
      <protection hidden="1"/>
    </xf>
    <xf numFmtId="0" fontId="8" fillId="12" borderId="2" xfId="0" applyFont="1" applyFill="1" applyBorder="1" applyAlignment="1" applyProtection="1">
      <alignment horizontal="center" wrapText="1" readingOrder="1"/>
      <protection hidden="1"/>
    </xf>
    <xf numFmtId="0" fontId="8" fillId="12" borderId="9" xfId="0" applyFont="1" applyFill="1" applyBorder="1" applyAlignment="1" applyProtection="1">
      <alignment horizontal="center" wrapText="1" readingOrder="1"/>
      <protection hidden="1"/>
    </xf>
    <xf numFmtId="0" fontId="8" fillId="12" borderId="3" xfId="0" applyFont="1" applyFill="1" applyBorder="1" applyAlignment="1" applyProtection="1">
      <alignment horizontal="center" wrapText="1" readingOrder="1"/>
      <protection hidden="1"/>
    </xf>
    <xf numFmtId="0" fontId="8" fillId="5" borderId="0" xfId="0" applyFont="1" applyFill="1" applyAlignment="1" applyProtection="1">
      <alignment horizontal="center" wrapText="1" readingOrder="1"/>
      <protection hidden="1"/>
    </xf>
    <xf numFmtId="0" fontId="8" fillId="5" borderId="5" xfId="0" applyFont="1" applyFill="1" applyBorder="1" applyAlignment="1" applyProtection="1">
      <alignment horizontal="center" wrapText="1" readingOrder="1"/>
      <protection hidden="1"/>
    </xf>
    <xf numFmtId="0" fontId="8" fillId="5" borderId="4" xfId="0" applyFont="1" applyFill="1" applyBorder="1" applyAlignment="1" applyProtection="1">
      <alignment horizontal="center" wrapText="1" readingOrder="1"/>
      <protection hidden="1"/>
    </xf>
    <xf numFmtId="0" fontId="8" fillId="5" borderId="6" xfId="0" applyFont="1" applyFill="1" applyBorder="1" applyAlignment="1" applyProtection="1">
      <alignment horizontal="center" wrapText="1" readingOrder="1"/>
      <protection hidden="1"/>
    </xf>
    <xf numFmtId="0" fontId="8" fillId="5" borderId="8" xfId="0" applyFont="1" applyFill="1" applyBorder="1" applyAlignment="1" applyProtection="1">
      <alignment horizontal="center" wrapText="1" readingOrder="1"/>
      <protection hidden="1"/>
    </xf>
    <xf numFmtId="0" fontId="8" fillId="5" borderId="7" xfId="0" applyFont="1" applyFill="1" applyBorder="1" applyAlignment="1" applyProtection="1">
      <alignment horizontal="center" wrapText="1" readingOrder="1"/>
      <protection hidden="1"/>
    </xf>
    <xf numFmtId="0" fontId="8" fillId="5" borderId="2" xfId="0" applyFont="1" applyFill="1" applyBorder="1" applyAlignment="1" applyProtection="1">
      <alignment horizontal="center" wrapText="1" readingOrder="1"/>
      <protection hidden="1"/>
    </xf>
    <xf numFmtId="0" fontId="8" fillId="5" borderId="9" xfId="0" applyFont="1" applyFill="1" applyBorder="1" applyAlignment="1" applyProtection="1">
      <alignment horizontal="center" wrapText="1" readingOrder="1"/>
      <protection hidden="1"/>
    </xf>
    <xf numFmtId="0" fontId="8" fillId="5" borderId="3" xfId="0" applyFont="1" applyFill="1" applyBorder="1" applyAlignment="1" applyProtection="1">
      <alignment horizontal="center" wrapText="1" readingOrder="1"/>
      <protection hidden="1"/>
    </xf>
    <xf numFmtId="0" fontId="12" fillId="0" borderId="0" xfId="0" applyFont="1" applyAlignment="1">
      <alignment horizontal="center" vertical="center" wrapText="1"/>
    </xf>
    <xf numFmtId="0" fontId="16" fillId="10" borderId="10" xfId="0" applyFont="1" applyFill="1" applyBorder="1" applyAlignment="1">
      <alignment horizontal="center" vertical="center" wrapText="1" readingOrder="1"/>
    </xf>
    <xf numFmtId="0" fontId="16" fillId="10" borderId="11" xfId="0" applyFont="1" applyFill="1" applyBorder="1" applyAlignment="1">
      <alignment horizontal="center" vertical="center" wrapText="1" readingOrder="1"/>
    </xf>
    <xf numFmtId="0" fontId="16" fillId="10" borderId="12" xfId="0" applyFont="1" applyFill="1" applyBorder="1" applyAlignment="1">
      <alignment horizontal="center" vertical="center" wrapText="1" readingOrder="1"/>
    </xf>
    <xf numFmtId="0" fontId="16" fillId="10" borderId="13" xfId="0" applyFont="1" applyFill="1" applyBorder="1" applyAlignment="1">
      <alignment horizontal="center" vertical="center" wrapText="1" readingOrder="1"/>
    </xf>
    <xf numFmtId="0" fontId="16" fillId="10" borderId="0" xfId="0" applyFont="1" applyFill="1" applyAlignment="1">
      <alignment horizontal="center" vertical="center" wrapText="1" readingOrder="1"/>
    </xf>
    <xf numFmtId="0" fontId="16" fillId="10" borderId="14" xfId="0" applyFont="1" applyFill="1" applyBorder="1" applyAlignment="1">
      <alignment horizontal="center" vertical="center" wrapText="1" readingOrder="1"/>
    </xf>
    <xf numFmtId="0" fontId="16" fillId="10" borderId="15" xfId="0" applyFont="1" applyFill="1" applyBorder="1" applyAlignment="1">
      <alignment horizontal="center" vertical="center" wrapText="1" readingOrder="1"/>
    </xf>
    <xf numFmtId="0" fontId="16" fillId="10" borderId="16" xfId="0" applyFont="1" applyFill="1" applyBorder="1" applyAlignment="1">
      <alignment horizontal="center" vertical="center" wrapText="1" readingOrder="1"/>
    </xf>
    <xf numFmtId="0" fontId="16" fillId="10" borderId="17" xfId="0" applyFont="1" applyFill="1" applyBorder="1" applyAlignment="1">
      <alignment horizontal="center" vertical="center" wrapText="1" readingOrder="1"/>
    </xf>
    <xf numFmtId="0" fontId="17" fillId="0" borderId="2" xfId="0" applyFont="1" applyBorder="1" applyAlignment="1">
      <alignment horizontal="center" vertical="center" wrapText="1"/>
    </xf>
    <xf numFmtId="0" fontId="17" fillId="0" borderId="9" xfId="0" applyFont="1" applyBorder="1" applyAlignment="1">
      <alignment horizontal="center" vertical="center"/>
    </xf>
    <xf numFmtId="0" fontId="17" fillId="0" borderId="4" xfId="0" applyFont="1" applyBorder="1" applyAlignment="1">
      <alignment horizontal="center" vertical="center" wrapText="1"/>
    </xf>
    <xf numFmtId="0" fontId="17" fillId="0" borderId="0" xfId="0" applyFont="1" applyAlignment="1">
      <alignment horizontal="center" vertical="center"/>
    </xf>
    <xf numFmtId="0" fontId="17" fillId="0" borderId="4" xfId="0" applyFont="1" applyBorder="1" applyAlignment="1">
      <alignment horizontal="center" vertical="center"/>
    </xf>
    <xf numFmtId="0" fontId="17" fillId="0" borderId="6" xfId="0" applyFont="1" applyBorder="1" applyAlignment="1">
      <alignment horizontal="center" vertical="center"/>
    </xf>
    <xf numFmtId="0" fontId="17" fillId="0" borderId="8" xfId="0" applyFont="1" applyBorder="1" applyAlignment="1">
      <alignment horizontal="center" vertical="center"/>
    </xf>
    <xf numFmtId="0" fontId="16" fillId="11" borderId="10" xfId="0" applyFont="1" applyFill="1" applyBorder="1" applyAlignment="1">
      <alignment horizontal="center" vertical="center" wrapText="1" readingOrder="1"/>
    </xf>
    <xf numFmtId="0" fontId="16" fillId="11" borderId="11" xfId="0" applyFont="1" applyFill="1" applyBorder="1" applyAlignment="1">
      <alignment horizontal="center" vertical="center" wrapText="1" readingOrder="1"/>
    </xf>
    <xf numFmtId="0" fontId="16" fillId="11" borderId="12" xfId="0" applyFont="1" applyFill="1" applyBorder="1" applyAlignment="1">
      <alignment horizontal="center" vertical="center" wrapText="1" readingOrder="1"/>
    </xf>
    <xf numFmtId="0" fontId="16" fillId="11" borderId="13" xfId="0" applyFont="1" applyFill="1" applyBorder="1" applyAlignment="1">
      <alignment horizontal="center" vertical="center" wrapText="1" readingOrder="1"/>
    </xf>
    <xf numFmtId="0" fontId="16" fillId="11" borderId="0" xfId="0" applyFont="1" applyFill="1" applyAlignment="1">
      <alignment horizontal="center" vertical="center" wrapText="1" readingOrder="1"/>
    </xf>
    <xf numFmtId="0" fontId="16" fillId="11" borderId="14" xfId="0" applyFont="1" applyFill="1" applyBorder="1" applyAlignment="1">
      <alignment horizontal="center" vertical="center" wrapText="1" readingOrder="1"/>
    </xf>
    <xf numFmtId="0" fontId="16" fillId="11" borderId="15" xfId="0" applyFont="1" applyFill="1" applyBorder="1" applyAlignment="1">
      <alignment horizontal="center" vertical="center" wrapText="1" readingOrder="1"/>
    </xf>
    <xf numFmtId="0" fontId="16" fillId="11" borderId="16" xfId="0" applyFont="1" applyFill="1" applyBorder="1" applyAlignment="1">
      <alignment horizontal="center" vertical="center" wrapText="1" readingOrder="1"/>
    </xf>
    <xf numFmtId="0" fontId="16" fillId="11" borderId="17" xfId="0" applyFont="1" applyFill="1" applyBorder="1" applyAlignment="1">
      <alignment horizontal="center" vertical="center" wrapText="1" readingOrder="1"/>
    </xf>
    <xf numFmtId="0" fontId="15" fillId="0" borderId="0" xfId="0" applyFont="1" applyAlignment="1">
      <alignment horizontal="center" vertical="center" wrapText="1"/>
    </xf>
    <xf numFmtId="0" fontId="10" fillId="0" borderId="0" xfId="0" applyFont="1" applyAlignment="1">
      <alignment horizontal="center" vertical="center" wrapText="1"/>
    </xf>
    <xf numFmtId="0" fontId="17" fillId="0" borderId="3" xfId="0" applyFont="1" applyBorder="1" applyAlignment="1">
      <alignment horizontal="center" vertical="center"/>
    </xf>
    <xf numFmtId="0" fontId="17" fillId="0" borderId="5" xfId="0" applyFont="1" applyBorder="1" applyAlignment="1">
      <alignment horizontal="center" vertical="center"/>
    </xf>
    <xf numFmtId="0" fontId="17" fillId="0" borderId="7" xfId="0" applyFont="1" applyBorder="1" applyAlignment="1">
      <alignment horizontal="center" vertical="center"/>
    </xf>
    <xf numFmtId="0" fontId="16" fillId="5" borderId="10" xfId="0" applyFont="1" applyFill="1" applyBorder="1" applyAlignment="1">
      <alignment horizontal="center" vertical="center" wrapText="1" readingOrder="1"/>
    </xf>
    <xf numFmtId="0" fontId="16" fillId="5" borderId="11" xfId="0" applyFont="1" applyFill="1" applyBorder="1" applyAlignment="1">
      <alignment horizontal="center" vertical="center" wrapText="1" readingOrder="1"/>
    </xf>
    <xf numFmtId="0" fontId="16" fillId="5" borderId="12" xfId="0" applyFont="1" applyFill="1" applyBorder="1" applyAlignment="1">
      <alignment horizontal="center" vertical="center" wrapText="1" readingOrder="1"/>
    </xf>
    <xf numFmtId="0" fontId="16" fillId="5" borderId="13" xfId="0" applyFont="1" applyFill="1" applyBorder="1" applyAlignment="1">
      <alignment horizontal="center" vertical="center" wrapText="1" readingOrder="1"/>
    </xf>
    <xf numFmtId="0" fontId="16" fillId="5" borderId="0" xfId="0" applyFont="1" applyFill="1" applyAlignment="1">
      <alignment horizontal="center" vertical="center" wrapText="1" readingOrder="1"/>
    </xf>
    <xf numFmtId="0" fontId="16" fillId="5" borderId="14" xfId="0" applyFont="1" applyFill="1" applyBorder="1" applyAlignment="1">
      <alignment horizontal="center" vertical="center" wrapText="1" readingOrder="1"/>
    </xf>
    <xf numFmtId="0" fontId="16" fillId="5" borderId="15" xfId="0" applyFont="1" applyFill="1" applyBorder="1" applyAlignment="1">
      <alignment horizontal="center" vertical="center" wrapText="1" readingOrder="1"/>
    </xf>
    <xf numFmtId="0" fontId="16" fillId="5" borderId="16" xfId="0" applyFont="1" applyFill="1" applyBorder="1" applyAlignment="1">
      <alignment horizontal="center" vertical="center" wrapText="1" readingOrder="1"/>
    </xf>
    <xf numFmtId="0" fontId="16" fillId="5" borderId="17" xfId="0" applyFont="1" applyFill="1" applyBorder="1" applyAlignment="1">
      <alignment horizontal="center" vertical="center" wrapText="1" readingOrder="1"/>
    </xf>
    <xf numFmtId="0" fontId="16" fillId="12" borderId="10" xfId="0" applyFont="1" applyFill="1" applyBorder="1" applyAlignment="1">
      <alignment horizontal="center" vertical="center" wrapText="1" readingOrder="1"/>
    </xf>
    <xf numFmtId="0" fontId="16" fillId="12" borderId="11" xfId="0" applyFont="1" applyFill="1" applyBorder="1" applyAlignment="1">
      <alignment horizontal="center" vertical="center" wrapText="1" readingOrder="1"/>
    </xf>
    <xf numFmtId="0" fontId="16" fillId="12" borderId="12" xfId="0" applyFont="1" applyFill="1" applyBorder="1" applyAlignment="1">
      <alignment horizontal="center" vertical="center" wrapText="1" readingOrder="1"/>
    </xf>
    <xf numFmtId="0" fontId="16" fillId="12" borderId="13" xfId="0" applyFont="1" applyFill="1" applyBorder="1" applyAlignment="1">
      <alignment horizontal="center" vertical="center" wrapText="1" readingOrder="1"/>
    </xf>
    <xf numFmtId="0" fontId="16" fillId="12" borderId="0" xfId="0" applyFont="1" applyFill="1" applyAlignment="1">
      <alignment horizontal="center" vertical="center" wrapText="1" readingOrder="1"/>
    </xf>
    <xf numFmtId="0" fontId="16" fillId="12" borderId="14" xfId="0" applyFont="1" applyFill="1" applyBorder="1" applyAlignment="1">
      <alignment horizontal="center" vertical="center" wrapText="1" readingOrder="1"/>
    </xf>
    <xf numFmtId="0" fontId="16" fillId="12" borderId="15" xfId="0" applyFont="1" applyFill="1" applyBorder="1" applyAlignment="1">
      <alignment horizontal="center" vertical="center" wrapText="1" readingOrder="1"/>
    </xf>
    <xf numFmtId="0" fontId="16" fillId="12" borderId="16" xfId="0" applyFont="1" applyFill="1" applyBorder="1" applyAlignment="1">
      <alignment horizontal="center" vertical="center" wrapText="1" readingOrder="1"/>
    </xf>
    <xf numFmtId="0" fontId="16" fillId="12" borderId="17" xfId="0" applyFont="1" applyFill="1" applyBorder="1" applyAlignment="1">
      <alignment horizontal="center" vertical="center" wrapText="1" readingOrder="1"/>
    </xf>
    <xf numFmtId="0" fontId="17" fillId="0" borderId="9" xfId="0" applyFont="1" applyBorder="1" applyAlignment="1">
      <alignment horizontal="center" vertical="center" wrapText="1"/>
    </xf>
    <xf numFmtId="0" fontId="35" fillId="0" borderId="0" xfId="0" applyFont="1" applyAlignment="1">
      <alignment horizontal="center" vertical="center"/>
    </xf>
    <xf numFmtId="0" fontId="56" fillId="0" borderId="32" xfId="0" applyFont="1" applyBorder="1" applyAlignment="1">
      <alignment horizontal="center" vertical="center" wrapText="1"/>
    </xf>
    <xf numFmtId="0" fontId="56" fillId="0" borderId="33" xfId="0" applyFont="1" applyBorder="1" applyAlignment="1">
      <alignment horizontal="center" vertical="center" wrapText="1"/>
    </xf>
    <xf numFmtId="0" fontId="56" fillId="0" borderId="34" xfId="0" applyFont="1" applyBorder="1" applyAlignment="1">
      <alignment horizontal="center" vertical="center" wrapText="1"/>
    </xf>
    <xf numFmtId="0" fontId="54" fillId="0" borderId="59" xfId="0" applyFont="1" applyBorder="1" applyAlignment="1">
      <alignment horizontal="center" vertical="center" wrapText="1"/>
    </xf>
    <xf numFmtId="0" fontId="54" fillId="0" borderId="57" xfId="0" applyFont="1" applyBorder="1" applyAlignment="1">
      <alignment horizontal="center" vertical="center" wrapText="1"/>
    </xf>
    <xf numFmtId="0" fontId="54" fillId="0" borderId="24" xfId="0" applyFont="1" applyBorder="1" applyAlignment="1">
      <alignment horizontal="center" vertical="center" wrapText="1"/>
    </xf>
    <xf numFmtId="0" fontId="54" fillId="0" borderId="58" xfId="0" applyFont="1" applyBorder="1" applyAlignment="1">
      <alignment horizontal="center" vertical="center" wrapText="1"/>
    </xf>
    <xf numFmtId="0" fontId="54" fillId="0" borderId="30" xfId="0" applyFont="1" applyBorder="1" applyAlignment="1">
      <alignment horizontal="center" vertical="center" wrapText="1"/>
    </xf>
    <xf numFmtId="0" fontId="56" fillId="0" borderId="30" xfId="0" applyFont="1" applyBorder="1" applyAlignment="1">
      <alignment horizontal="center" vertical="center" wrapText="1"/>
    </xf>
    <xf numFmtId="0" fontId="56" fillId="0" borderId="24" xfId="0" applyFont="1" applyBorder="1" applyAlignment="1">
      <alignment horizontal="center" vertical="center" wrapText="1"/>
    </xf>
    <xf numFmtId="0" fontId="56" fillId="0" borderId="31" xfId="0" applyFont="1" applyBorder="1" applyAlignment="1">
      <alignment horizontal="center" vertical="center" wrapText="1"/>
    </xf>
    <xf numFmtId="0" fontId="27" fillId="15" borderId="36" xfId="0" applyFont="1" applyFill="1" applyBorder="1" applyAlignment="1">
      <alignment horizontal="center" vertical="center" wrapText="1" readingOrder="1"/>
    </xf>
    <xf numFmtId="0" fontId="27" fillId="15" borderId="37" xfId="0" applyFont="1" applyFill="1" applyBorder="1" applyAlignment="1">
      <alignment horizontal="center" vertical="center" wrapText="1" readingOrder="1"/>
    </xf>
    <xf numFmtId="0" fontId="27" fillId="15" borderId="38" xfId="0" applyFont="1" applyFill="1" applyBorder="1" applyAlignment="1">
      <alignment horizontal="center" vertical="center" wrapText="1" readingOrder="1"/>
    </xf>
    <xf numFmtId="0" fontId="49" fillId="3" borderId="0" xfId="0" applyFont="1" applyFill="1" applyAlignment="1">
      <alignment horizontal="justify" vertical="center" wrapText="1"/>
    </xf>
    <xf numFmtId="0" fontId="43" fillId="15" borderId="60" xfId="0" applyFont="1" applyFill="1" applyBorder="1" applyAlignment="1">
      <alignment horizontal="center" vertical="center" wrapText="1" readingOrder="1"/>
    </xf>
    <xf numFmtId="0" fontId="43" fillId="15" borderId="61" xfId="0" applyFont="1" applyFill="1" applyBorder="1" applyAlignment="1">
      <alignment horizontal="center" vertical="center" wrapText="1" readingOrder="1"/>
    </xf>
    <xf numFmtId="0" fontId="44" fillId="3" borderId="30" xfId="0" applyFont="1" applyFill="1" applyBorder="1" applyAlignment="1">
      <alignment horizontal="center" vertical="center" wrapText="1" readingOrder="1"/>
    </xf>
    <xf numFmtId="0" fontId="44" fillId="3" borderId="24" xfId="0" applyFont="1" applyFill="1" applyBorder="1" applyAlignment="1">
      <alignment horizontal="center" vertical="center" wrapText="1" readingOrder="1"/>
    </xf>
    <xf numFmtId="0" fontId="44" fillId="3" borderId="32" xfId="0" applyFont="1" applyFill="1" applyBorder="1" applyAlignment="1">
      <alignment horizontal="center" vertical="center" wrapText="1" readingOrder="1"/>
    </xf>
    <xf numFmtId="0" fontId="44" fillId="3" borderId="33" xfId="0" applyFont="1" applyFill="1" applyBorder="1" applyAlignment="1">
      <alignment horizontal="center" vertical="center" wrapText="1" readingOrder="1"/>
    </xf>
    <xf numFmtId="0" fontId="63" fillId="0" borderId="68" xfId="0" applyFont="1" applyBorder="1" applyAlignment="1">
      <alignment horizontal="center" vertical="center" wrapText="1"/>
    </xf>
    <xf numFmtId="0" fontId="64" fillId="15" borderId="35" xfId="0" applyFont="1" applyFill="1" applyBorder="1" applyAlignment="1">
      <alignment horizontal="center" vertical="center" wrapText="1"/>
    </xf>
    <xf numFmtId="0" fontId="64" fillId="15" borderId="0" xfId="0" applyFont="1" applyFill="1" applyBorder="1" applyAlignment="1">
      <alignment horizontal="center" vertical="center" wrapText="1"/>
    </xf>
    <xf numFmtId="0" fontId="64" fillId="15" borderId="53" xfId="0" applyFont="1" applyFill="1" applyBorder="1" applyAlignment="1">
      <alignment horizontal="center" vertical="center" wrapText="1"/>
    </xf>
    <xf numFmtId="0" fontId="66" fillId="3" borderId="68" xfId="0" applyFont="1" applyFill="1" applyBorder="1" applyAlignment="1">
      <alignment horizontal="center" vertical="center" wrapText="1"/>
    </xf>
    <xf numFmtId="0" fontId="66" fillId="3" borderId="68" xfId="0" applyFont="1" applyFill="1" applyBorder="1" applyAlignment="1">
      <alignment horizontal="center" vertical="center"/>
    </xf>
    <xf numFmtId="0" fontId="60" fillId="0" borderId="82" xfId="0" applyFont="1" applyBorder="1" applyAlignment="1" applyProtection="1">
      <alignment horizontal="center" vertical="top"/>
      <protection locked="0"/>
    </xf>
    <xf numFmtId="0" fontId="60" fillId="0" borderId="82" xfId="0" applyFont="1" applyBorder="1" applyAlignment="1" applyProtection="1">
      <alignment horizontal="center" vertical="center"/>
      <protection locked="0"/>
    </xf>
    <xf numFmtId="0" fontId="61" fillId="0" borderId="82" xfId="0" applyFont="1" applyBorder="1" applyAlignment="1">
      <alignment horizontal="center" vertical="center" wrapText="1"/>
    </xf>
    <xf numFmtId="0" fontId="61" fillId="0" borderId="41" xfId="0" applyFont="1" applyBorder="1" applyAlignment="1">
      <alignment horizontal="center" vertical="center"/>
    </xf>
    <xf numFmtId="0" fontId="60" fillId="0" borderId="83" xfId="0" applyFont="1" applyBorder="1" applyAlignment="1" applyProtection="1">
      <alignment horizontal="center" vertical="top"/>
      <protection locked="0"/>
    </xf>
    <xf numFmtId="0" fontId="60" fillId="0" borderId="83" xfId="0" applyFont="1" applyBorder="1" applyAlignment="1" applyProtection="1">
      <alignment horizontal="center" vertical="center"/>
      <protection locked="0"/>
    </xf>
    <xf numFmtId="0" fontId="61" fillId="0" borderId="83" xfId="0" applyFont="1" applyBorder="1" applyAlignment="1">
      <alignment horizontal="center" vertical="center"/>
    </xf>
    <xf numFmtId="0" fontId="60" fillId="0" borderId="84" xfId="0" applyFont="1" applyBorder="1" applyAlignment="1" applyProtection="1">
      <alignment horizontal="center" vertical="top"/>
      <protection locked="0"/>
    </xf>
    <xf numFmtId="0" fontId="60" fillId="0" borderId="85" xfId="0" applyFont="1" applyBorder="1" applyAlignment="1" applyProtection="1">
      <alignment horizontal="center" vertical="center"/>
      <protection locked="0"/>
    </xf>
    <xf numFmtId="0" fontId="61" fillId="0" borderId="64" xfId="0" applyFont="1" applyBorder="1" applyAlignment="1">
      <alignment horizontal="center" vertical="center"/>
    </xf>
    <xf numFmtId="0" fontId="61" fillId="0" borderId="82" xfId="0" applyFont="1" applyBorder="1" applyAlignment="1">
      <alignment horizontal="center" vertical="center"/>
    </xf>
    <xf numFmtId="0" fontId="61" fillId="0" borderId="65" xfId="0" applyFont="1" applyBorder="1" applyAlignment="1">
      <alignment horizontal="center" vertical="center"/>
    </xf>
    <xf numFmtId="0" fontId="60" fillId="3" borderId="68" xfId="0" applyFont="1" applyFill="1" applyBorder="1" applyAlignment="1">
      <alignment vertical="center"/>
    </xf>
    <xf numFmtId="0" fontId="60" fillId="3" borderId="68" xfId="0" applyFont="1" applyFill="1" applyBorder="1"/>
    <xf numFmtId="0" fontId="60" fillId="3" borderId="77" xfId="0" applyFont="1" applyFill="1" applyBorder="1" applyAlignment="1">
      <alignment vertical="center"/>
    </xf>
    <xf numFmtId="0" fontId="67" fillId="14" borderId="22" xfId="0" applyFont="1" applyFill="1" applyBorder="1" applyAlignment="1">
      <alignment horizontal="center" vertical="center" wrapText="1"/>
    </xf>
    <xf numFmtId="0" fontId="67" fillId="14" borderId="86" xfId="0" applyFont="1" applyFill="1" applyBorder="1" applyAlignment="1">
      <alignment horizontal="center" vertical="center" wrapText="1"/>
    </xf>
    <xf numFmtId="0" fontId="30" fillId="14" borderId="87" xfId="0" applyFont="1" applyFill="1" applyBorder="1" applyAlignment="1">
      <alignment horizontal="center" vertical="center"/>
    </xf>
    <xf numFmtId="0" fontId="30" fillId="14" borderId="88" xfId="0" applyFont="1" applyFill="1" applyBorder="1" applyAlignment="1">
      <alignment horizontal="center" vertical="center"/>
    </xf>
    <xf numFmtId="0" fontId="30" fillId="14" borderId="89" xfId="0" applyFont="1" applyFill="1" applyBorder="1" applyAlignment="1">
      <alignment horizontal="center" vertical="center"/>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863">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00B050"/>
        </patternFill>
      </fill>
    </dxf>
    <dxf>
      <fill>
        <patternFill>
          <bgColor rgb="FFFFFF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00B050"/>
        </patternFill>
      </fill>
    </dxf>
    <dxf>
      <fill>
        <patternFill>
          <bgColor rgb="FFFFFF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00B050"/>
        </patternFill>
      </fill>
    </dxf>
    <dxf>
      <fill>
        <patternFill>
          <bgColor rgb="FFFFFF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Arial"/>
        <family val="2"/>
        <scheme val="none"/>
      </font>
      <fill>
        <patternFill patternType="none">
          <fgColor indexed="64"/>
          <bgColor indexed="65"/>
        </patternFill>
      </fill>
    </dxf>
    <dxf>
      <font>
        <b val="0"/>
        <i val="0"/>
        <strike val="0"/>
        <condense val="0"/>
        <extend val="0"/>
        <outline val="0"/>
        <shadow val="0"/>
        <u val="none"/>
        <vertAlign val="baseline"/>
        <sz val="16"/>
        <color rgb="FFFF0000"/>
        <name val="Arial"/>
        <family val="2"/>
        <scheme val="none"/>
      </font>
      <fill>
        <patternFill patternType="none">
          <fgColor indexed="64"/>
          <bgColor indexed="65"/>
        </patternFill>
      </fill>
    </dxf>
    <dxf>
      <font>
        <b val="0"/>
        <i val="0"/>
        <strike val="0"/>
        <condense val="0"/>
        <extend val="0"/>
        <outline val="0"/>
        <shadow val="0"/>
        <u val="none"/>
        <vertAlign val="baseline"/>
        <sz val="16"/>
        <color rgb="FFFF0000"/>
        <name val="Arial"/>
        <family val="2"/>
        <scheme val="none"/>
      </font>
      <fill>
        <patternFill patternType="none">
          <fgColor indexed="64"/>
          <bgColor indexed="65"/>
        </patternFill>
      </fill>
    </dxf>
    <dxf>
      <font>
        <b val="0"/>
        <i val="0"/>
        <strike val="0"/>
        <condense val="0"/>
        <extend val="0"/>
        <outline val="0"/>
        <shadow val="0"/>
        <u val="none"/>
        <vertAlign val="baseline"/>
        <sz val="16"/>
        <color rgb="FFFF0000"/>
        <name val="Arial"/>
        <family val="2"/>
        <scheme val="none"/>
      </font>
      <fill>
        <patternFill patternType="none">
          <fgColor indexed="64"/>
          <bgColor indexed="65"/>
        </patternFill>
      </fill>
      <alignment horizontal="general" vertical="center" textRotation="0" wrapText="0" indent="0" justifyLastLine="0" shrinkToFit="0" readingOrder="0"/>
    </dxf>
    <dxf>
      <alignment wrapText="1"/>
    </dxf>
    <dxf>
      <alignment wrapText="1"/>
    </dxf>
    <dxf>
      <alignment wrapText="1"/>
    </dxf>
    <dxf>
      <alignment wrapText="1"/>
    </dxf>
    <dxf>
      <alignment wrapText="1"/>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s>
  <tableStyles count="0" defaultTableStyle="TableStyleMedium2" defaultPivotStyle="PivotStyleLight16"/>
  <colors>
    <mruColors>
      <color rgb="FF6E1978"/>
      <color rgb="FFB61978"/>
      <color rgb="FFFE1978"/>
      <color rgb="FF4F5321"/>
      <color rgb="FFC5D11C"/>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3</xdr:col>
      <xdr:colOff>390526</xdr:colOff>
      <xdr:row>23</xdr:row>
      <xdr:rowOff>733425</xdr:rowOff>
    </xdr:from>
    <xdr:to>
      <xdr:col>4</xdr:col>
      <xdr:colOff>571500</xdr:colOff>
      <xdr:row>23</xdr:row>
      <xdr:rowOff>2057400</xdr:rowOff>
    </xdr:to>
    <xdr:sp macro="" textlink="">
      <xdr:nvSpPr>
        <xdr:cNvPr id="3" name="CuadroTexto 2">
          <a:extLst>
            <a:ext uri="{FF2B5EF4-FFF2-40B4-BE49-F238E27FC236}">
              <a16:creationId xmlns:a16="http://schemas.microsoft.com/office/drawing/2014/main" id="{714B6774-BB85-4E90-AE31-78B024E92E63}"/>
            </a:ext>
          </a:extLst>
        </xdr:cNvPr>
        <xdr:cNvSpPr txBox="1"/>
      </xdr:nvSpPr>
      <xdr:spPr>
        <a:xfrm>
          <a:off x="3876676" y="14306550"/>
          <a:ext cx="1247774" cy="1323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900"/>
            <a:t>Identifica el cargo del servidor que ejecuta el control, en caso de que sean controles automáticos se identificará el sistema que realiza la actividad.</a:t>
          </a:r>
        </a:p>
      </xdr:txBody>
    </xdr:sp>
    <xdr:clientData/>
  </xdr:twoCellAnchor>
  <xdr:twoCellAnchor>
    <xdr:from>
      <xdr:col>4</xdr:col>
      <xdr:colOff>1019176</xdr:colOff>
      <xdr:row>23</xdr:row>
      <xdr:rowOff>733425</xdr:rowOff>
    </xdr:from>
    <xdr:to>
      <xdr:col>5</xdr:col>
      <xdr:colOff>47625</xdr:colOff>
      <xdr:row>23</xdr:row>
      <xdr:rowOff>2066925</xdr:rowOff>
    </xdr:to>
    <xdr:sp macro="" textlink="">
      <xdr:nvSpPr>
        <xdr:cNvPr id="4" name="CuadroTexto 3">
          <a:extLst>
            <a:ext uri="{FF2B5EF4-FFF2-40B4-BE49-F238E27FC236}">
              <a16:creationId xmlns:a16="http://schemas.microsoft.com/office/drawing/2014/main" id="{CC549931-B6AC-46B7-8F29-41EC4F694D8A}"/>
            </a:ext>
          </a:extLst>
        </xdr:cNvPr>
        <xdr:cNvSpPr txBox="1"/>
      </xdr:nvSpPr>
      <xdr:spPr>
        <a:xfrm>
          <a:off x="5572126" y="14306550"/>
          <a:ext cx="933449" cy="133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000"/>
            <a:t>Se determina mediante verbos que indican la acción que deben realizar como parte del control.</a:t>
          </a:r>
        </a:p>
      </xdr:txBody>
    </xdr:sp>
    <xdr:clientData/>
  </xdr:twoCellAnchor>
  <xdr:twoCellAnchor>
    <xdr:from>
      <xdr:col>5</xdr:col>
      <xdr:colOff>161925</xdr:colOff>
      <xdr:row>23</xdr:row>
      <xdr:rowOff>752475</xdr:rowOff>
    </xdr:from>
    <xdr:to>
      <xdr:col>5</xdr:col>
      <xdr:colOff>1047750</xdr:colOff>
      <xdr:row>23</xdr:row>
      <xdr:rowOff>1828800</xdr:rowOff>
    </xdr:to>
    <xdr:sp macro="" textlink="">
      <xdr:nvSpPr>
        <xdr:cNvPr id="5" name="CuadroTexto 4">
          <a:extLst>
            <a:ext uri="{FF2B5EF4-FFF2-40B4-BE49-F238E27FC236}">
              <a16:creationId xmlns:a16="http://schemas.microsoft.com/office/drawing/2014/main" id="{87764A0C-A1BA-44D7-A2BD-50143377899D}"/>
            </a:ext>
          </a:extLst>
        </xdr:cNvPr>
        <xdr:cNvSpPr txBox="1"/>
      </xdr:nvSpPr>
      <xdr:spPr>
        <a:xfrm>
          <a:off x="6619875" y="14325600"/>
          <a:ext cx="885825" cy="1076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900"/>
            <a:t>Corresponde a los detalles que permiten identificar claramente el objeto del control. </a:t>
          </a:r>
        </a:p>
      </xdr:txBody>
    </xdr:sp>
    <xdr:clientData/>
  </xdr:twoCellAnchor>
  <xdr:twoCellAnchor editAs="oneCell">
    <xdr:from>
      <xdr:col>5</xdr:col>
      <xdr:colOff>1343026</xdr:colOff>
      <xdr:row>1</xdr:row>
      <xdr:rowOff>140155</xdr:rowOff>
    </xdr:from>
    <xdr:to>
      <xdr:col>6</xdr:col>
      <xdr:colOff>1028701</xdr:colOff>
      <xdr:row>2</xdr:row>
      <xdr:rowOff>594425</xdr:rowOff>
    </xdr:to>
    <xdr:pic>
      <xdr:nvPicPr>
        <xdr:cNvPr id="2" name="Imagen 1">
          <a:extLst>
            <a:ext uri="{FF2B5EF4-FFF2-40B4-BE49-F238E27FC236}">
              <a16:creationId xmlns:a16="http://schemas.microsoft.com/office/drawing/2014/main" id="{13377BA6-7E02-4F7E-ACF8-EBF9085F71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00976" y="330655"/>
          <a:ext cx="1714500" cy="10067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226220</xdr:colOff>
      <xdr:row>1</xdr:row>
      <xdr:rowOff>80830</xdr:rowOff>
    </xdr:from>
    <xdr:to>
      <xdr:col>3</xdr:col>
      <xdr:colOff>510040</xdr:colOff>
      <xdr:row>2</xdr:row>
      <xdr:rowOff>576079</xdr:rowOff>
    </xdr:to>
    <xdr:pic>
      <xdr:nvPicPr>
        <xdr:cNvPr id="2" name="Imagen 1">
          <a:extLst>
            <a:ext uri="{FF2B5EF4-FFF2-40B4-BE49-F238E27FC236}">
              <a16:creationId xmlns:a16="http://schemas.microsoft.com/office/drawing/2014/main" id="{48F89CCE-DF2C-4B9A-86F1-7B27F64595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0006" y="271330"/>
          <a:ext cx="1719601" cy="101232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4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4"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8:E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formats count="11">
    <format dxfId="862">
      <pivotArea type="all" dataOnly="0" outline="0" fieldPosition="0"/>
    </format>
    <format dxfId="861">
      <pivotArea field="0" type="button" dataOnly="0" labelOnly="1" outline="0" axis="axisRow" fieldPosition="0"/>
    </format>
    <format dxfId="860">
      <pivotArea field="1" type="button" dataOnly="0" labelOnly="1" outline="0" axis="axisRow" fieldPosition="1"/>
    </format>
    <format dxfId="859">
      <pivotArea dataOnly="0" labelOnly="1" outline="0" fieldPosition="0">
        <references count="1">
          <reference field="0" count="0"/>
        </references>
      </pivotArea>
    </format>
    <format dxfId="858">
      <pivotArea dataOnly="0" labelOnly="1" outline="0" fieldPosition="0">
        <references count="2">
          <reference field="0" count="1" selected="0">
            <x v="0"/>
          </reference>
          <reference field="1" count="5">
            <x v="0"/>
            <x v="6"/>
            <x v="7"/>
            <x v="8"/>
            <x v="9"/>
          </reference>
        </references>
      </pivotArea>
    </format>
    <format dxfId="857">
      <pivotArea dataOnly="0" labelOnly="1" outline="0" fieldPosition="0">
        <references count="2">
          <reference field="0" count="1" selected="0">
            <x v="1"/>
          </reference>
          <reference field="1" count="5">
            <x v="1"/>
            <x v="2"/>
            <x v="3"/>
            <x v="4"/>
            <x v="5"/>
          </reference>
        </references>
      </pivotArea>
    </format>
    <format dxfId="856">
      <pivotArea field="1" type="button" dataOnly="0" labelOnly="1" outline="0" axis="axisRow" fieldPosition="1"/>
    </format>
    <format dxfId="855">
      <pivotArea dataOnly="0" labelOnly="1" outline="0" fieldPosition="0">
        <references count="1">
          <reference field="0" count="1">
            <x v="0"/>
          </reference>
        </references>
      </pivotArea>
    </format>
    <format dxfId="854">
      <pivotArea dataOnly="0" labelOnly="1" outline="0" fieldPosition="0">
        <references count="1">
          <reference field="0" count="1">
            <x v="1"/>
          </reference>
        </references>
      </pivotArea>
    </format>
    <format dxfId="853">
      <pivotArea dataOnly="0" labelOnly="1" outline="0" fieldPosition="0">
        <references count="2">
          <reference field="0" count="1" selected="0">
            <x v="0"/>
          </reference>
          <reference field="1" count="5">
            <x v="0"/>
            <x v="6"/>
            <x v="7"/>
            <x v="8"/>
            <x v="9"/>
          </reference>
        </references>
      </pivotArea>
    </format>
    <format dxfId="852">
      <pivotArea dataOnly="0" labelOnly="1" outline="0" fieldPosition="0">
        <references count="2">
          <reference field="0" count="1" selected="0">
            <x v="1"/>
          </reference>
          <reference field="1" count="5">
            <x v="1"/>
            <x v="2"/>
            <x v="3"/>
            <x v="4"/>
            <x v="5"/>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08:C218" totalsRowShown="0" headerRowDxfId="851" dataDxfId="850">
  <autoFilter ref="B208:C218" xr:uid="{00000000-0009-0000-0100-000001000000}"/>
  <tableColumns count="2">
    <tableColumn id="1" xr3:uid="{00000000-0010-0000-0000-000001000000}" name="Criterios" dataDxfId="849"/>
    <tableColumn id="2" xr3:uid="{00000000-0010-0000-0000-000002000000}" name="Subcriterios" dataDxfId="84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N44"/>
  <sheetViews>
    <sheetView zoomScaleNormal="100" workbookViewId="0">
      <selection activeCell="B2" sqref="B2:J3"/>
    </sheetView>
  </sheetViews>
  <sheetFormatPr baseColWidth="10" defaultColWidth="11.42578125" defaultRowHeight="14.25" x14ac:dyDescent="0.2"/>
  <cols>
    <col min="1" max="1" width="2.85546875" style="43" customWidth="1" collapsed="1"/>
    <col min="2" max="3" width="24.7109375" style="43" customWidth="1" collapsed="1"/>
    <col min="4" max="4" width="16" style="43" customWidth="1" collapsed="1"/>
    <col min="5" max="5" width="28.5703125" style="43" customWidth="1" collapsed="1"/>
    <col min="6" max="6" width="30.42578125" style="43" customWidth="1" collapsed="1"/>
    <col min="7" max="7" width="28.28515625" style="43" customWidth="1" collapsed="1"/>
    <col min="8" max="10" width="28.28515625" style="43" customWidth="1"/>
    <col min="11" max="11" width="20.85546875" style="43" customWidth="1" collapsed="1"/>
    <col min="12" max="14" width="11.42578125" style="43"/>
    <col min="15" max="16384" width="11.42578125" style="43" collapsed="1"/>
  </cols>
  <sheetData>
    <row r="1" spans="2:11" ht="15" thickBot="1" x14ac:dyDescent="0.25"/>
    <row r="2" spans="2:11" ht="43.5" customHeight="1" x14ac:dyDescent="0.2">
      <c r="B2" s="281"/>
      <c r="C2" s="282"/>
      <c r="D2" s="282"/>
      <c r="E2" s="282"/>
      <c r="F2" s="282"/>
      <c r="G2" s="282"/>
      <c r="H2" s="282"/>
      <c r="I2" s="282"/>
      <c r="J2" s="282"/>
      <c r="K2" s="96" t="s">
        <v>0</v>
      </c>
    </row>
    <row r="3" spans="2:11" ht="54" customHeight="1" thickBot="1" x14ac:dyDescent="0.25">
      <c r="B3" s="283"/>
      <c r="C3" s="284"/>
      <c r="D3" s="284"/>
      <c r="E3" s="284"/>
      <c r="F3" s="284"/>
      <c r="G3" s="284"/>
      <c r="H3" s="284"/>
      <c r="I3" s="284"/>
      <c r="J3" s="284"/>
      <c r="K3" s="97" t="s">
        <v>1</v>
      </c>
    </row>
    <row r="4" spans="2:11" ht="15" customHeight="1" x14ac:dyDescent="0.2">
      <c r="B4" s="295" t="s">
        <v>2</v>
      </c>
      <c r="C4" s="296"/>
      <c r="D4" s="296"/>
      <c r="E4" s="296"/>
      <c r="F4" s="296"/>
      <c r="G4" s="296"/>
      <c r="H4" s="296"/>
      <c r="I4" s="296"/>
      <c r="J4" s="296"/>
      <c r="K4" s="297"/>
    </row>
    <row r="5" spans="2:11" ht="23.25" customHeight="1" x14ac:dyDescent="0.2">
      <c r="B5" s="298"/>
      <c r="C5" s="299"/>
      <c r="D5" s="299"/>
      <c r="E5" s="299"/>
      <c r="F5" s="299"/>
      <c r="G5" s="299"/>
      <c r="H5" s="299"/>
      <c r="I5" s="299"/>
      <c r="J5" s="299"/>
      <c r="K5" s="300"/>
    </row>
    <row r="6" spans="2:11" ht="18" customHeight="1" x14ac:dyDescent="0.2">
      <c r="B6" s="298" t="s">
        <v>3</v>
      </c>
      <c r="C6" s="299"/>
      <c r="D6" s="299"/>
      <c r="E6" s="299"/>
      <c r="F6" s="299"/>
      <c r="G6" s="299"/>
      <c r="H6" s="299"/>
      <c r="I6" s="299"/>
      <c r="J6" s="299"/>
      <c r="K6" s="300"/>
    </row>
    <row r="7" spans="2:11" ht="18" x14ac:dyDescent="0.2">
      <c r="B7" s="298" t="s">
        <v>4</v>
      </c>
      <c r="C7" s="299"/>
      <c r="D7" s="299"/>
      <c r="E7" s="299"/>
      <c r="F7" s="299"/>
      <c r="G7" s="299"/>
      <c r="H7" s="299"/>
      <c r="I7" s="299"/>
      <c r="J7" s="299"/>
      <c r="K7" s="300"/>
    </row>
    <row r="8" spans="2:11" ht="18" customHeight="1" x14ac:dyDescent="0.25">
      <c r="B8" s="285" t="s">
        <v>5</v>
      </c>
      <c r="C8" s="286"/>
      <c r="D8" s="286"/>
      <c r="E8" s="286"/>
      <c r="F8" s="286"/>
      <c r="G8" s="286"/>
      <c r="H8" s="287"/>
      <c r="I8" s="287"/>
      <c r="J8" s="287"/>
      <c r="K8" s="288"/>
    </row>
    <row r="9" spans="2:11" ht="95.25" customHeight="1" x14ac:dyDescent="0.2">
      <c r="B9" s="289" t="s">
        <v>6</v>
      </c>
      <c r="C9" s="290"/>
      <c r="D9" s="290"/>
      <c r="E9" s="290"/>
      <c r="F9" s="290"/>
      <c r="G9" s="290"/>
      <c r="H9" s="290"/>
      <c r="I9" s="290"/>
      <c r="J9" s="290"/>
      <c r="K9" s="291"/>
    </row>
    <row r="10" spans="2:11" ht="15" x14ac:dyDescent="0.2">
      <c r="B10" s="79"/>
      <c r="C10" s="80"/>
      <c r="D10" s="80"/>
      <c r="E10" s="80"/>
      <c r="F10" s="80"/>
      <c r="G10" s="80"/>
      <c r="H10" s="80"/>
      <c r="I10" s="80"/>
      <c r="J10" s="80"/>
      <c r="K10" s="81"/>
    </row>
    <row r="11" spans="2:11" ht="16.5" customHeight="1" x14ac:dyDescent="0.2">
      <c r="B11" s="292" t="s">
        <v>7</v>
      </c>
      <c r="C11" s="293"/>
      <c r="D11" s="293"/>
      <c r="E11" s="293"/>
      <c r="F11" s="293"/>
      <c r="G11" s="293"/>
      <c r="H11" s="293"/>
      <c r="I11" s="293"/>
      <c r="J11" s="293"/>
      <c r="K11" s="294"/>
    </row>
    <row r="12" spans="2:11" ht="44.25" customHeight="1" x14ac:dyDescent="0.2">
      <c r="B12" s="292"/>
      <c r="C12" s="293"/>
      <c r="D12" s="293"/>
      <c r="E12" s="293"/>
      <c r="F12" s="293"/>
      <c r="G12" s="293"/>
      <c r="H12" s="293"/>
      <c r="I12" s="293"/>
      <c r="J12" s="293"/>
      <c r="K12" s="294"/>
    </row>
    <row r="13" spans="2:11" ht="15" thickBot="1" x14ac:dyDescent="0.25">
      <c r="B13" s="82"/>
      <c r="C13" s="83"/>
      <c r="D13" s="84"/>
      <c r="E13" s="85"/>
      <c r="F13" s="85"/>
      <c r="G13" s="86"/>
      <c r="H13" s="86"/>
      <c r="I13" s="86"/>
      <c r="J13" s="86"/>
      <c r="K13" s="87"/>
    </row>
    <row r="14" spans="2:11" ht="15" customHeight="1" x14ac:dyDescent="0.2">
      <c r="B14" s="82"/>
      <c r="C14" s="73" t="s">
        <v>8</v>
      </c>
      <c r="D14" s="301" t="s">
        <v>9</v>
      </c>
      <c r="E14" s="302"/>
      <c r="F14" s="302"/>
      <c r="G14" s="302"/>
      <c r="H14" s="302"/>
      <c r="I14" s="302"/>
      <c r="J14" s="303"/>
      <c r="K14" s="87"/>
    </row>
    <row r="15" spans="2:11" ht="39.75" customHeight="1" x14ac:dyDescent="0.2">
      <c r="B15" s="82"/>
      <c r="C15" s="74" t="s">
        <v>10</v>
      </c>
      <c r="D15" s="265" t="s">
        <v>11</v>
      </c>
      <c r="E15" s="265"/>
      <c r="F15" s="265"/>
      <c r="G15" s="265"/>
      <c r="H15" s="265"/>
      <c r="I15" s="265"/>
      <c r="J15" s="266"/>
      <c r="K15" s="88"/>
    </row>
    <row r="16" spans="2:11" ht="39.75" customHeight="1" x14ac:dyDescent="0.2">
      <c r="B16" s="82"/>
      <c r="C16" s="74" t="s">
        <v>12</v>
      </c>
      <c r="D16" s="265" t="s">
        <v>13</v>
      </c>
      <c r="E16" s="265"/>
      <c r="F16" s="265"/>
      <c r="G16" s="265"/>
      <c r="H16" s="265"/>
      <c r="I16" s="265"/>
      <c r="J16" s="266"/>
      <c r="K16" s="88"/>
    </row>
    <row r="17" spans="2:11" ht="62.25" customHeight="1" x14ac:dyDescent="0.2">
      <c r="B17" s="82"/>
      <c r="C17" s="75" t="s">
        <v>14</v>
      </c>
      <c r="D17" s="265" t="s">
        <v>15</v>
      </c>
      <c r="E17" s="265"/>
      <c r="F17" s="265"/>
      <c r="G17" s="265"/>
      <c r="H17" s="265"/>
      <c r="I17" s="265"/>
      <c r="J17" s="266"/>
      <c r="K17" s="88"/>
    </row>
    <row r="18" spans="2:11" ht="28.5" customHeight="1" x14ac:dyDescent="0.2">
      <c r="B18" s="82"/>
      <c r="C18" s="75" t="s">
        <v>16</v>
      </c>
      <c r="D18" s="265" t="s">
        <v>17</v>
      </c>
      <c r="E18" s="265"/>
      <c r="F18" s="265"/>
      <c r="G18" s="265"/>
      <c r="H18" s="265"/>
      <c r="I18" s="265"/>
      <c r="J18" s="266"/>
      <c r="K18" s="89"/>
    </row>
    <row r="19" spans="2:11" ht="21.75" customHeight="1" x14ac:dyDescent="0.2">
      <c r="B19" s="82"/>
      <c r="C19" s="75" t="s">
        <v>18</v>
      </c>
      <c r="D19" s="265" t="s">
        <v>19</v>
      </c>
      <c r="E19" s="265"/>
      <c r="F19" s="265"/>
      <c r="G19" s="265"/>
      <c r="H19" s="265"/>
      <c r="I19" s="265"/>
      <c r="J19" s="266"/>
      <c r="K19" s="89"/>
    </row>
    <row r="20" spans="2:11" ht="45" customHeight="1" x14ac:dyDescent="0.2">
      <c r="B20" s="82"/>
      <c r="C20" s="75" t="s">
        <v>20</v>
      </c>
      <c r="D20" s="265" t="s">
        <v>21</v>
      </c>
      <c r="E20" s="265"/>
      <c r="F20" s="265"/>
      <c r="G20" s="265"/>
      <c r="H20" s="265"/>
      <c r="I20" s="265"/>
      <c r="J20" s="266"/>
      <c r="K20" s="90"/>
    </row>
    <row r="21" spans="2:11" ht="55.5" customHeight="1" x14ac:dyDescent="0.2">
      <c r="B21" s="82"/>
      <c r="C21" s="75" t="s">
        <v>22</v>
      </c>
      <c r="D21" s="265" t="s">
        <v>23</v>
      </c>
      <c r="E21" s="265"/>
      <c r="F21" s="265"/>
      <c r="G21" s="265"/>
      <c r="H21" s="265"/>
      <c r="I21" s="265"/>
      <c r="J21" s="266"/>
      <c r="K21" s="88"/>
    </row>
    <row r="22" spans="2:11" ht="42" customHeight="1" x14ac:dyDescent="0.2">
      <c r="B22" s="82"/>
      <c r="C22" s="75" t="s">
        <v>24</v>
      </c>
      <c r="D22" s="265" t="s">
        <v>25</v>
      </c>
      <c r="E22" s="265"/>
      <c r="F22" s="265"/>
      <c r="G22" s="265"/>
      <c r="H22" s="265"/>
      <c r="I22" s="265"/>
      <c r="J22" s="266"/>
      <c r="K22" s="88"/>
    </row>
    <row r="23" spans="2:11" ht="26.25" customHeight="1" x14ac:dyDescent="0.2">
      <c r="B23" s="82"/>
      <c r="C23" s="75" t="s">
        <v>26</v>
      </c>
      <c r="D23" s="265" t="s">
        <v>27</v>
      </c>
      <c r="E23" s="265"/>
      <c r="F23" s="265"/>
      <c r="G23" s="265"/>
      <c r="H23" s="265"/>
      <c r="I23" s="265"/>
      <c r="J23" s="266"/>
      <c r="K23" s="88"/>
    </row>
    <row r="24" spans="2:11" ht="197.25" customHeight="1" x14ac:dyDescent="0.2">
      <c r="B24" s="82"/>
      <c r="C24" s="75" t="s">
        <v>28</v>
      </c>
      <c r="D24" s="265" t="s">
        <v>29</v>
      </c>
      <c r="E24" s="265"/>
      <c r="F24" s="265"/>
      <c r="G24" s="265"/>
      <c r="H24" s="265"/>
      <c r="I24" s="265"/>
      <c r="J24" s="266"/>
      <c r="K24" s="88"/>
    </row>
    <row r="25" spans="2:11" ht="23.25" customHeight="1" x14ac:dyDescent="0.2">
      <c r="B25" s="82"/>
      <c r="C25" s="75" t="s">
        <v>30</v>
      </c>
      <c r="D25" s="267" t="s">
        <v>31</v>
      </c>
      <c r="E25" s="267"/>
      <c r="F25" s="267"/>
      <c r="G25" s="267"/>
      <c r="H25" s="267"/>
      <c r="I25" s="267"/>
      <c r="J25" s="268"/>
      <c r="K25" s="88"/>
    </row>
    <row r="26" spans="2:11" ht="69" customHeight="1" x14ac:dyDescent="0.2">
      <c r="B26" s="82"/>
      <c r="C26" s="75" t="s">
        <v>32</v>
      </c>
      <c r="D26" s="265" t="s">
        <v>33</v>
      </c>
      <c r="E26" s="265"/>
      <c r="F26" s="265"/>
      <c r="G26" s="265"/>
      <c r="H26" s="265"/>
      <c r="I26" s="265"/>
      <c r="J26" s="266"/>
      <c r="K26" s="88"/>
    </row>
    <row r="27" spans="2:11" ht="48.75" customHeight="1" x14ac:dyDescent="0.2">
      <c r="B27" s="82"/>
      <c r="C27" s="75" t="s">
        <v>34</v>
      </c>
      <c r="D27" s="265" t="s">
        <v>35</v>
      </c>
      <c r="E27" s="265"/>
      <c r="F27" s="265"/>
      <c r="G27" s="265"/>
      <c r="H27" s="265"/>
      <c r="I27" s="265"/>
      <c r="J27" s="266"/>
      <c r="K27" s="88"/>
    </row>
    <row r="28" spans="2:11" ht="30" customHeight="1" x14ac:dyDescent="0.2">
      <c r="B28" s="82"/>
      <c r="C28" s="75" t="s">
        <v>36</v>
      </c>
      <c r="D28" s="267" t="s">
        <v>37</v>
      </c>
      <c r="E28" s="267"/>
      <c r="F28" s="267"/>
      <c r="G28" s="267"/>
      <c r="H28" s="267"/>
      <c r="I28" s="267"/>
      <c r="J28" s="268"/>
      <c r="K28" s="88"/>
    </row>
    <row r="29" spans="2:11" ht="77.25" customHeight="1" x14ac:dyDescent="0.2">
      <c r="B29" s="82"/>
      <c r="C29" s="75" t="s">
        <v>38</v>
      </c>
      <c r="D29" s="265" t="s">
        <v>39</v>
      </c>
      <c r="E29" s="265"/>
      <c r="F29" s="265"/>
      <c r="G29" s="265"/>
      <c r="H29" s="265"/>
      <c r="I29" s="265"/>
      <c r="J29" s="266"/>
      <c r="K29" s="88"/>
    </row>
    <row r="30" spans="2:11" ht="48" customHeight="1" x14ac:dyDescent="0.2">
      <c r="B30" s="82"/>
      <c r="C30" s="75" t="s">
        <v>40</v>
      </c>
      <c r="D30" s="265" t="s">
        <v>41</v>
      </c>
      <c r="E30" s="265"/>
      <c r="F30" s="265"/>
      <c r="G30" s="265"/>
      <c r="H30" s="265"/>
      <c r="I30" s="265"/>
      <c r="J30" s="266"/>
      <c r="K30" s="88"/>
    </row>
    <row r="31" spans="2:11" ht="43.5" customHeight="1" x14ac:dyDescent="0.2">
      <c r="B31" s="82"/>
      <c r="C31" s="75" t="s">
        <v>42</v>
      </c>
      <c r="D31" s="265" t="s">
        <v>43</v>
      </c>
      <c r="E31" s="265"/>
      <c r="F31" s="265"/>
      <c r="G31" s="265"/>
      <c r="H31" s="265"/>
      <c r="I31" s="265"/>
      <c r="J31" s="266"/>
      <c r="K31" s="88"/>
    </row>
    <row r="32" spans="2:11" ht="59.25" customHeight="1" x14ac:dyDescent="0.2">
      <c r="B32" s="82"/>
      <c r="C32" s="75" t="s">
        <v>44</v>
      </c>
      <c r="D32" s="265" t="s">
        <v>45</v>
      </c>
      <c r="E32" s="265"/>
      <c r="F32" s="265"/>
      <c r="G32" s="265"/>
      <c r="H32" s="265"/>
      <c r="I32" s="265"/>
      <c r="J32" s="266"/>
      <c r="K32" s="88"/>
    </row>
    <row r="33" spans="2:11" ht="134.25" customHeight="1" x14ac:dyDescent="0.2">
      <c r="B33" s="82"/>
      <c r="C33" s="75" t="s">
        <v>46</v>
      </c>
      <c r="D33" s="265" t="s">
        <v>47</v>
      </c>
      <c r="E33" s="265"/>
      <c r="F33" s="265"/>
      <c r="G33" s="265"/>
      <c r="H33" s="265"/>
      <c r="I33" s="265"/>
      <c r="J33" s="266"/>
      <c r="K33" s="88"/>
    </row>
    <row r="34" spans="2:11" ht="82.5" customHeight="1" x14ac:dyDescent="0.2">
      <c r="B34" s="82"/>
      <c r="C34" s="75" t="s">
        <v>48</v>
      </c>
      <c r="D34" s="265" t="s">
        <v>49</v>
      </c>
      <c r="E34" s="265"/>
      <c r="F34" s="265"/>
      <c r="G34" s="265"/>
      <c r="H34" s="265"/>
      <c r="I34" s="265"/>
      <c r="J34" s="266"/>
      <c r="K34" s="88"/>
    </row>
    <row r="35" spans="2:11" ht="19.5" customHeight="1" x14ac:dyDescent="0.2">
      <c r="B35" s="82"/>
      <c r="C35" s="75" t="s">
        <v>50</v>
      </c>
      <c r="D35" s="70" t="s">
        <v>51</v>
      </c>
      <c r="E35" s="70" t="s">
        <v>52</v>
      </c>
      <c r="F35" s="70" t="s">
        <v>53</v>
      </c>
      <c r="G35" s="70" t="s">
        <v>54</v>
      </c>
      <c r="H35" s="276" t="s">
        <v>55</v>
      </c>
      <c r="I35" s="276"/>
      <c r="J35" s="277"/>
      <c r="K35" s="87"/>
    </row>
    <row r="36" spans="2:11" ht="51.75" customHeight="1" x14ac:dyDescent="0.2">
      <c r="B36" s="82"/>
      <c r="C36" s="76" t="s">
        <v>56</v>
      </c>
      <c r="D36" s="69" t="s">
        <v>57</v>
      </c>
      <c r="E36" s="69" t="s">
        <v>58</v>
      </c>
      <c r="F36" s="69" t="s">
        <v>59</v>
      </c>
      <c r="G36" s="69" t="s">
        <v>60</v>
      </c>
      <c r="H36" s="265" t="s">
        <v>61</v>
      </c>
      <c r="I36" s="265"/>
      <c r="J36" s="266"/>
      <c r="K36" s="87"/>
    </row>
    <row r="37" spans="2:11" ht="45.75" customHeight="1" x14ac:dyDescent="0.2">
      <c r="B37" s="82"/>
      <c r="C37" s="272" t="s">
        <v>62</v>
      </c>
      <c r="D37" s="273"/>
      <c r="E37" s="71" t="s">
        <v>63</v>
      </c>
      <c r="F37" s="71" t="s">
        <v>55</v>
      </c>
      <c r="G37" s="71" t="s">
        <v>64</v>
      </c>
      <c r="H37" s="71" t="s">
        <v>65</v>
      </c>
      <c r="I37" s="71" t="s">
        <v>66</v>
      </c>
      <c r="J37" s="77" t="s">
        <v>67</v>
      </c>
      <c r="K37" s="87"/>
    </row>
    <row r="38" spans="2:11" ht="45.75" customHeight="1" x14ac:dyDescent="0.2">
      <c r="B38" s="82"/>
      <c r="C38" s="274" t="s">
        <v>68</v>
      </c>
      <c r="D38" s="275"/>
      <c r="E38" s="72" t="s">
        <v>69</v>
      </c>
      <c r="F38" s="72" t="s">
        <v>70</v>
      </c>
      <c r="G38" s="72" t="s">
        <v>71</v>
      </c>
      <c r="H38" s="72" t="s">
        <v>72</v>
      </c>
      <c r="I38" s="72" t="s">
        <v>72</v>
      </c>
      <c r="J38" s="78" t="s">
        <v>73</v>
      </c>
      <c r="K38" s="87"/>
    </row>
    <row r="39" spans="2:11" ht="6.75" customHeight="1" thickBot="1" x14ac:dyDescent="0.25">
      <c r="B39" s="82"/>
      <c r="C39" s="278"/>
      <c r="D39" s="279"/>
      <c r="E39" s="279"/>
      <c r="F39" s="279"/>
      <c r="G39" s="279"/>
      <c r="H39" s="279"/>
      <c r="I39" s="279"/>
      <c r="J39" s="280"/>
      <c r="K39" s="87"/>
    </row>
    <row r="40" spans="2:11" x14ac:dyDescent="0.2">
      <c r="B40" s="82"/>
      <c r="C40" s="91"/>
      <c r="D40" s="91"/>
      <c r="E40" s="92"/>
      <c r="F40" s="92"/>
      <c r="G40" s="83"/>
      <c r="H40" s="83"/>
      <c r="I40" s="83"/>
      <c r="J40" s="83"/>
      <c r="K40" s="87"/>
    </row>
    <row r="41" spans="2:11" ht="24" customHeight="1" x14ac:dyDescent="0.2">
      <c r="B41" s="269" t="s">
        <v>74</v>
      </c>
      <c r="C41" s="270"/>
      <c r="D41" s="270"/>
      <c r="E41" s="270"/>
      <c r="F41" s="270"/>
      <c r="G41" s="270"/>
      <c r="H41" s="270"/>
      <c r="I41" s="270"/>
      <c r="J41" s="270"/>
      <c r="K41" s="271"/>
    </row>
    <row r="42" spans="2:11" ht="23.25" customHeight="1" x14ac:dyDescent="0.2">
      <c r="B42" s="269" t="s">
        <v>75</v>
      </c>
      <c r="C42" s="270"/>
      <c r="D42" s="270"/>
      <c r="E42" s="270"/>
      <c r="F42" s="270"/>
      <c r="G42" s="270"/>
      <c r="H42" s="270"/>
      <c r="I42" s="270"/>
      <c r="J42" s="270"/>
      <c r="K42" s="271"/>
    </row>
    <row r="43" spans="2:11" ht="15" customHeight="1" x14ac:dyDescent="0.2">
      <c r="B43" s="269" t="s">
        <v>76</v>
      </c>
      <c r="C43" s="270"/>
      <c r="D43" s="270"/>
      <c r="E43" s="270"/>
      <c r="F43" s="270"/>
      <c r="G43" s="270"/>
      <c r="H43" s="270"/>
      <c r="I43" s="270"/>
      <c r="J43" s="270"/>
      <c r="K43" s="271"/>
    </row>
    <row r="44" spans="2:11" ht="15" thickBot="1" x14ac:dyDescent="0.25">
      <c r="B44" s="93"/>
      <c r="C44" s="94"/>
      <c r="D44" s="94"/>
      <c r="E44" s="94"/>
      <c r="F44" s="94"/>
      <c r="G44" s="94"/>
      <c r="H44" s="94"/>
      <c r="I44" s="94"/>
      <c r="J44" s="94"/>
      <c r="K44" s="95"/>
    </row>
  </sheetData>
  <mergeCells count="36">
    <mergeCell ref="B2:J3"/>
    <mergeCell ref="D17:J17"/>
    <mergeCell ref="B8:K8"/>
    <mergeCell ref="B9:K9"/>
    <mergeCell ref="B11:K12"/>
    <mergeCell ref="B4:K5"/>
    <mergeCell ref="B6:K6"/>
    <mergeCell ref="B7:K7"/>
    <mergeCell ref="D15:J15"/>
    <mergeCell ref="D16:J16"/>
    <mergeCell ref="D14:J14"/>
    <mergeCell ref="B42:K42"/>
    <mergeCell ref="B43:K43"/>
    <mergeCell ref="C37:D37"/>
    <mergeCell ref="C38:D38"/>
    <mergeCell ref="H35:J35"/>
    <mergeCell ref="H36:J36"/>
    <mergeCell ref="C39:J39"/>
    <mergeCell ref="B41:K41"/>
    <mergeCell ref="D33:J33"/>
    <mergeCell ref="D34:J34"/>
    <mergeCell ref="D22:J22"/>
    <mergeCell ref="D23:J23"/>
    <mergeCell ref="D24:J24"/>
    <mergeCell ref="D25:J25"/>
    <mergeCell ref="D26:J26"/>
    <mergeCell ref="D27:J27"/>
    <mergeCell ref="D28:J28"/>
    <mergeCell ref="D29:J29"/>
    <mergeCell ref="D30:J30"/>
    <mergeCell ref="D31:J31"/>
    <mergeCell ref="D21:J21"/>
    <mergeCell ref="D20:J20"/>
    <mergeCell ref="D18:J18"/>
    <mergeCell ref="D19:J19"/>
    <mergeCell ref="D32:J32"/>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J317"/>
  <sheetViews>
    <sheetView showGridLines="0" tabSelected="1" zoomScale="130" zoomScaleNormal="130" workbookViewId="0">
      <selection activeCell="AS5" sqref="AS5"/>
    </sheetView>
  </sheetViews>
  <sheetFormatPr baseColWidth="10" defaultColWidth="11.42578125" defaultRowHeight="12.75" x14ac:dyDescent="0.2"/>
  <cols>
    <col min="1" max="1" width="2.28515625" style="157" customWidth="1"/>
    <col min="2" max="2" width="5.85546875" style="243" customWidth="1"/>
    <col min="3" max="3" width="15.5703125" style="244" customWidth="1"/>
    <col min="4" max="4" width="33.5703125" style="244" customWidth="1"/>
    <col min="5" max="5" width="15.7109375" style="244" customWidth="1"/>
    <col min="6" max="6" width="30.140625" style="244" customWidth="1"/>
    <col min="7" max="7" width="29.7109375" style="157" customWidth="1"/>
    <col min="8" max="8" width="20.85546875" style="157" customWidth="1"/>
    <col min="9" max="9" width="22.28515625" style="157" customWidth="1"/>
    <col min="10" max="10" width="10.140625" style="157" customWidth="1"/>
    <col min="11" max="11" width="27.28515625" style="157" bestFit="1" customWidth="1"/>
    <col min="12" max="12" width="30.5703125" style="157" hidden="1" customWidth="1"/>
    <col min="13" max="13" width="17.5703125" style="157" customWidth="1"/>
    <col min="14" max="14" width="7.42578125" style="157" customWidth="1"/>
    <col min="15" max="15" width="16" style="157" customWidth="1"/>
    <col min="16" max="16" width="5.85546875" style="163" customWidth="1"/>
    <col min="17" max="17" width="57.7109375" style="201" customWidth="1"/>
    <col min="18" max="18" width="15.140625" style="163" bestFit="1" customWidth="1"/>
    <col min="19" max="19" width="6.85546875" style="163" customWidth="1"/>
    <col min="20" max="20" width="5" style="163" customWidth="1"/>
    <col min="21" max="21" width="5.5703125" style="163" customWidth="1"/>
    <col min="22" max="22" width="7.140625" style="163" customWidth="1"/>
    <col min="23" max="23" width="6.7109375" style="163" customWidth="1"/>
    <col min="24" max="24" width="7.5703125" style="163" customWidth="1"/>
    <col min="25" max="25" width="7.85546875" style="163" customWidth="1"/>
    <col min="26" max="26" width="8.7109375" style="163" customWidth="1"/>
    <col min="27" max="27" width="10.42578125" style="163" customWidth="1"/>
    <col min="28" max="28" width="7.5703125" style="163" customWidth="1"/>
    <col min="29" max="29" width="9.140625" style="163" customWidth="1"/>
    <col min="30" max="30" width="7" style="163" customWidth="1"/>
    <col min="31" max="31" width="7.28515625" style="157" customWidth="1"/>
    <col min="32" max="33" width="23" style="157" customWidth="1"/>
    <col min="34" max="34" width="18.85546875" style="157" customWidth="1"/>
    <col min="35" max="35" width="14.85546875" style="157" customWidth="1"/>
    <col min="36" max="36" width="18.5703125" style="157" customWidth="1"/>
    <col min="37" max="37" width="22.5703125" style="157" customWidth="1"/>
    <col min="38" max="38" width="13.140625" style="157" customWidth="1"/>
    <col min="39" max="39" width="12.28515625" style="157" customWidth="1"/>
    <col min="40" max="40" width="12.140625" style="157" customWidth="1"/>
    <col min="41" max="16384" width="11.42578125" style="157"/>
  </cols>
  <sheetData>
    <row r="2" spans="1:62" ht="40.5" customHeight="1" x14ac:dyDescent="0.2">
      <c r="B2" s="516" t="s">
        <v>770</v>
      </c>
      <c r="C2" s="516"/>
      <c r="D2" s="516"/>
      <c r="E2" s="516"/>
      <c r="F2" s="516"/>
      <c r="G2" s="516"/>
      <c r="H2" s="516"/>
      <c r="I2" s="516"/>
      <c r="J2" s="516"/>
      <c r="K2" s="516"/>
      <c r="L2" s="516"/>
      <c r="M2" s="516"/>
      <c r="N2" s="516"/>
      <c r="O2" s="516"/>
      <c r="P2" s="516"/>
      <c r="Q2" s="516"/>
      <c r="R2" s="516"/>
      <c r="S2" s="516"/>
      <c r="T2" s="516"/>
      <c r="U2" s="516"/>
      <c r="V2" s="516"/>
      <c r="W2" s="516"/>
      <c r="X2" s="516"/>
      <c r="Y2" s="516"/>
      <c r="Z2" s="516"/>
      <c r="AA2" s="516"/>
      <c r="AB2" s="516"/>
      <c r="AC2" s="516"/>
      <c r="AD2" s="516"/>
      <c r="AE2" s="516"/>
      <c r="AF2" s="516"/>
      <c r="AG2" s="516"/>
      <c r="AH2" s="516"/>
      <c r="AI2" s="516"/>
      <c r="AJ2" s="516"/>
      <c r="AK2" s="516"/>
      <c r="AL2" s="516"/>
      <c r="AM2" s="516"/>
      <c r="AN2" s="516"/>
      <c r="AO2" s="516"/>
      <c r="AP2" s="516"/>
      <c r="AQ2" s="516"/>
      <c r="AR2" s="520" t="s">
        <v>774</v>
      </c>
      <c r="AS2" s="158"/>
      <c r="AT2" s="158"/>
      <c r="AU2" s="158"/>
      <c r="AV2" s="158"/>
      <c r="AW2" s="158"/>
      <c r="AX2" s="158"/>
      <c r="AY2" s="158"/>
      <c r="AZ2" s="158"/>
      <c r="BA2" s="158"/>
      <c r="BB2" s="158"/>
      <c r="BC2" s="158"/>
      <c r="BD2" s="158"/>
      <c r="BE2" s="158"/>
      <c r="BF2" s="158"/>
      <c r="BG2" s="158"/>
      <c r="BH2" s="158"/>
      <c r="BI2" s="158"/>
      <c r="BJ2" s="158"/>
    </row>
    <row r="3" spans="1:62" ht="53.25" customHeight="1" x14ac:dyDescent="0.2">
      <c r="B3" s="516"/>
      <c r="C3" s="516"/>
      <c r="D3" s="516"/>
      <c r="E3" s="516"/>
      <c r="F3" s="516"/>
      <c r="G3" s="516"/>
      <c r="H3" s="516"/>
      <c r="I3" s="516"/>
      <c r="J3" s="516"/>
      <c r="K3" s="516"/>
      <c r="L3" s="516"/>
      <c r="M3" s="516"/>
      <c r="N3" s="516"/>
      <c r="O3" s="516"/>
      <c r="P3" s="516"/>
      <c r="Q3" s="516"/>
      <c r="R3" s="516"/>
      <c r="S3" s="516"/>
      <c r="T3" s="516"/>
      <c r="U3" s="516"/>
      <c r="V3" s="516"/>
      <c r="W3" s="516"/>
      <c r="X3" s="516"/>
      <c r="Y3" s="516"/>
      <c r="Z3" s="516"/>
      <c r="AA3" s="516"/>
      <c r="AB3" s="516"/>
      <c r="AC3" s="516"/>
      <c r="AD3" s="516"/>
      <c r="AE3" s="516"/>
      <c r="AF3" s="516"/>
      <c r="AG3" s="516"/>
      <c r="AH3" s="516"/>
      <c r="AI3" s="516"/>
      <c r="AJ3" s="516"/>
      <c r="AK3" s="516"/>
      <c r="AL3" s="516"/>
      <c r="AM3" s="516"/>
      <c r="AN3" s="516"/>
      <c r="AO3" s="516"/>
      <c r="AP3" s="516"/>
      <c r="AQ3" s="516"/>
      <c r="AR3" s="521"/>
      <c r="AS3" s="158"/>
      <c r="AT3" s="158"/>
      <c r="AU3" s="158"/>
      <c r="AV3" s="158"/>
      <c r="AW3" s="158"/>
      <c r="AX3" s="158"/>
      <c r="AY3" s="158"/>
      <c r="AZ3" s="158"/>
      <c r="BA3" s="158"/>
      <c r="BB3" s="158"/>
      <c r="BC3" s="158"/>
      <c r="BD3" s="158"/>
      <c r="BE3" s="158"/>
      <c r="BF3" s="158"/>
      <c r="BG3" s="158"/>
      <c r="BH3" s="158"/>
      <c r="BI3" s="158"/>
      <c r="BJ3" s="158"/>
    </row>
    <row r="4" spans="1:62" ht="11.25" customHeight="1" x14ac:dyDescent="0.2">
      <c r="B4" s="517"/>
      <c r="C4" s="518"/>
      <c r="D4" s="518"/>
      <c r="E4" s="518"/>
      <c r="F4" s="518"/>
      <c r="G4" s="518"/>
      <c r="H4" s="518"/>
      <c r="I4" s="518"/>
      <c r="J4" s="518"/>
      <c r="K4" s="518"/>
      <c r="L4" s="518"/>
      <c r="M4" s="518"/>
      <c r="N4" s="518"/>
      <c r="O4" s="518"/>
      <c r="P4" s="518"/>
      <c r="Q4" s="518"/>
      <c r="R4" s="518"/>
      <c r="S4" s="518"/>
      <c r="T4" s="518"/>
      <c r="U4" s="518"/>
      <c r="V4" s="518"/>
      <c r="W4" s="518"/>
      <c r="X4" s="518"/>
      <c r="Y4" s="518"/>
      <c r="Z4" s="518"/>
      <c r="AA4" s="518"/>
      <c r="AB4" s="518"/>
      <c r="AC4" s="518"/>
      <c r="AD4" s="518"/>
      <c r="AE4" s="518"/>
      <c r="AF4" s="518"/>
      <c r="AG4" s="518"/>
      <c r="AH4" s="518"/>
      <c r="AI4" s="518"/>
      <c r="AJ4" s="518"/>
      <c r="AK4" s="518"/>
      <c r="AL4" s="518"/>
      <c r="AM4" s="518"/>
      <c r="AN4" s="518"/>
      <c r="AO4" s="518"/>
      <c r="AP4" s="518"/>
      <c r="AQ4" s="518"/>
      <c r="AR4" s="519"/>
      <c r="AS4" s="158"/>
      <c r="AT4" s="158"/>
      <c r="AU4" s="158"/>
      <c r="AV4" s="158"/>
      <c r="AW4" s="158"/>
      <c r="AX4" s="158"/>
      <c r="AY4" s="158"/>
      <c r="AZ4" s="158"/>
      <c r="BA4" s="158"/>
      <c r="BB4" s="158"/>
      <c r="BC4" s="158"/>
      <c r="BD4" s="158"/>
      <c r="BE4" s="158"/>
      <c r="BF4" s="158"/>
      <c r="BG4" s="158"/>
      <c r="BH4" s="158"/>
      <c r="BI4" s="158"/>
      <c r="BJ4" s="158"/>
    </row>
    <row r="5" spans="1:62" ht="12.75" customHeight="1" x14ac:dyDescent="0.2">
      <c r="B5" s="350" t="s">
        <v>77</v>
      </c>
      <c r="C5" s="351"/>
      <c r="D5" s="351"/>
      <c r="E5" s="351"/>
      <c r="F5" s="351"/>
      <c r="G5" s="352"/>
      <c r="H5" s="330" t="s">
        <v>78</v>
      </c>
      <c r="I5" s="331"/>
      <c r="J5" s="331"/>
      <c r="K5" s="331"/>
      <c r="L5" s="331"/>
      <c r="M5" s="331"/>
      <c r="N5" s="331"/>
      <c r="O5" s="332"/>
      <c r="P5" s="333" t="s">
        <v>79</v>
      </c>
      <c r="Q5" s="333"/>
      <c r="R5" s="333"/>
      <c r="S5" s="333"/>
      <c r="T5" s="333"/>
      <c r="U5" s="333"/>
      <c r="V5" s="333"/>
      <c r="W5" s="333"/>
      <c r="X5" s="333"/>
      <c r="Y5" s="334" t="s">
        <v>80</v>
      </c>
      <c r="Z5" s="334"/>
      <c r="AA5" s="334"/>
      <c r="AB5" s="334"/>
      <c r="AC5" s="334"/>
      <c r="AD5" s="334"/>
      <c r="AE5" s="334"/>
      <c r="AF5" s="333" t="s">
        <v>81</v>
      </c>
      <c r="AG5" s="333"/>
      <c r="AH5" s="333"/>
      <c r="AI5" s="333"/>
      <c r="AJ5" s="333"/>
      <c r="AK5" s="335"/>
      <c r="AL5" s="539" t="s">
        <v>771</v>
      </c>
      <c r="AM5" s="540"/>
      <c r="AN5" s="540"/>
      <c r="AO5" s="540"/>
      <c r="AP5" s="540"/>
      <c r="AQ5" s="540"/>
      <c r="AR5" s="541"/>
      <c r="AS5" s="158"/>
      <c r="AT5" s="158"/>
      <c r="AU5" s="158"/>
      <c r="AV5" s="158"/>
      <c r="AW5" s="158"/>
      <c r="AX5" s="158"/>
      <c r="AY5" s="158"/>
      <c r="AZ5" s="158"/>
      <c r="BA5" s="158"/>
      <c r="BB5" s="158"/>
      <c r="BC5" s="158"/>
      <c r="BD5" s="158"/>
      <c r="BE5" s="158"/>
      <c r="BF5" s="158"/>
      <c r="BG5" s="158"/>
      <c r="BH5" s="158"/>
      <c r="BI5" s="158"/>
      <c r="BJ5" s="158"/>
    </row>
    <row r="6" spans="1:62" ht="16.5" customHeight="1" x14ac:dyDescent="0.2">
      <c r="B6" s="355" t="s">
        <v>10</v>
      </c>
      <c r="C6" s="348" t="s">
        <v>12</v>
      </c>
      <c r="D6" s="336" t="s">
        <v>14</v>
      </c>
      <c r="E6" s="348" t="s">
        <v>82</v>
      </c>
      <c r="F6" s="348" t="s">
        <v>83</v>
      </c>
      <c r="G6" s="348" t="s">
        <v>18</v>
      </c>
      <c r="H6" s="344" t="s">
        <v>84</v>
      </c>
      <c r="I6" s="344" t="s">
        <v>85</v>
      </c>
      <c r="J6" s="346" t="s">
        <v>86</v>
      </c>
      <c r="K6" s="344" t="s">
        <v>87</v>
      </c>
      <c r="L6" s="344" t="s">
        <v>88</v>
      </c>
      <c r="M6" s="344" t="s">
        <v>89</v>
      </c>
      <c r="N6" s="346" t="s">
        <v>86</v>
      </c>
      <c r="O6" s="344" t="s">
        <v>24</v>
      </c>
      <c r="P6" s="342" t="s">
        <v>26</v>
      </c>
      <c r="Q6" s="336" t="s">
        <v>28</v>
      </c>
      <c r="R6" s="336" t="s">
        <v>30</v>
      </c>
      <c r="S6" s="336" t="s">
        <v>90</v>
      </c>
      <c r="T6" s="336"/>
      <c r="U6" s="336"/>
      <c r="V6" s="336"/>
      <c r="W6" s="336"/>
      <c r="X6" s="336"/>
      <c r="Y6" s="340" t="s">
        <v>91</v>
      </c>
      <c r="Z6" s="340" t="s">
        <v>92</v>
      </c>
      <c r="AA6" s="340" t="s">
        <v>86</v>
      </c>
      <c r="AB6" s="340" t="s">
        <v>93</v>
      </c>
      <c r="AC6" s="340" t="s">
        <v>86</v>
      </c>
      <c r="AD6" s="340" t="s">
        <v>94</v>
      </c>
      <c r="AE6" s="340" t="s">
        <v>46</v>
      </c>
      <c r="AF6" s="336" t="s">
        <v>81</v>
      </c>
      <c r="AG6" s="336" t="s">
        <v>51</v>
      </c>
      <c r="AH6" s="336" t="s">
        <v>95</v>
      </c>
      <c r="AI6" s="336" t="s">
        <v>96</v>
      </c>
      <c r="AJ6" s="336" t="s">
        <v>54</v>
      </c>
      <c r="AK6" s="338" t="s">
        <v>55</v>
      </c>
      <c r="AL6" s="538" t="s">
        <v>62</v>
      </c>
      <c r="AM6" s="538" t="s">
        <v>62</v>
      </c>
      <c r="AN6" s="538" t="s">
        <v>62</v>
      </c>
      <c r="AO6" s="538" t="s">
        <v>772</v>
      </c>
      <c r="AP6" s="538" t="s">
        <v>65</v>
      </c>
      <c r="AQ6" s="538" t="s">
        <v>66</v>
      </c>
      <c r="AR6" s="538" t="s">
        <v>773</v>
      </c>
      <c r="AS6" s="158"/>
      <c r="AT6" s="158"/>
      <c r="AU6" s="158"/>
      <c r="AV6" s="158"/>
      <c r="AW6" s="158"/>
      <c r="AX6" s="158"/>
      <c r="AY6" s="158"/>
      <c r="AZ6" s="158"/>
      <c r="BA6" s="158"/>
      <c r="BB6" s="158"/>
      <c r="BC6" s="158"/>
      <c r="BD6" s="158"/>
      <c r="BE6" s="158"/>
      <c r="BF6" s="158"/>
      <c r="BG6" s="158"/>
      <c r="BH6" s="158"/>
      <c r="BI6" s="158"/>
      <c r="BJ6" s="158"/>
    </row>
    <row r="7" spans="1:62" s="162" customFormat="1" ht="26.25" customHeight="1" x14ac:dyDescent="0.25">
      <c r="A7" s="159"/>
      <c r="B7" s="356"/>
      <c r="C7" s="349"/>
      <c r="D7" s="337"/>
      <c r="E7" s="349"/>
      <c r="F7" s="349"/>
      <c r="G7" s="349"/>
      <c r="H7" s="345"/>
      <c r="I7" s="345"/>
      <c r="J7" s="347"/>
      <c r="K7" s="345"/>
      <c r="L7" s="345"/>
      <c r="M7" s="347"/>
      <c r="N7" s="347"/>
      <c r="O7" s="345"/>
      <c r="P7" s="343"/>
      <c r="Q7" s="337"/>
      <c r="R7" s="337"/>
      <c r="S7" s="160" t="s">
        <v>97</v>
      </c>
      <c r="T7" s="160" t="s">
        <v>98</v>
      </c>
      <c r="U7" s="160" t="s">
        <v>99</v>
      </c>
      <c r="V7" s="160" t="s">
        <v>100</v>
      </c>
      <c r="W7" s="160" t="s">
        <v>101</v>
      </c>
      <c r="X7" s="160" t="s">
        <v>102</v>
      </c>
      <c r="Y7" s="341"/>
      <c r="Z7" s="341"/>
      <c r="AA7" s="341"/>
      <c r="AB7" s="341"/>
      <c r="AC7" s="341"/>
      <c r="AD7" s="341"/>
      <c r="AE7" s="341"/>
      <c r="AF7" s="337"/>
      <c r="AG7" s="337"/>
      <c r="AH7" s="337"/>
      <c r="AI7" s="337"/>
      <c r="AJ7" s="337"/>
      <c r="AK7" s="339"/>
      <c r="AL7" s="537"/>
      <c r="AM7" s="537"/>
      <c r="AN7" s="537"/>
      <c r="AO7" s="537"/>
      <c r="AP7" s="537"/>
      <c r="AQ7" s="537"/>
      <c r="AR7" s="537"/>
      <c r="AS7" s="161"/>
      <c r="AT7" s="161"/>
      <c r="AU7" s="161"/>
      <c r="AV7" s="161"/>
      <c r="AW7" s="161"/>
      <c r="AX7" s="161"/>
      <c r="AY7" s="161"/>
      <c r="AZ7" s="161"/>
      <c r="BA7" s="161"/>
      <c r="BB7" s="161"/>
      <c r="BC7" s="161"/>
      <c r="BD7" s="161"/>
      <c r="BE7" s="161"/>
      <c r="BF7" s="161"/>
      <c r="BG7" s="161"/>
      <c r="BH7" s="161"/>
      <c r="BI7" s="161"/>
      <c r="BJ7" s="161"/>
    </row>
    <row r="8" spans="1:62" s="163" customFormat="1" ht="135" customHeight="1" x14ac:dyDescent="0.25">
      <c r="B8" s="314" t="s">
        <v>103</v>
      </c>
      <c r="C8" s="324" t="s">
        <v>104</v>
      </c>
      <c r="D8" s="317" t="s">
        <v>105</v>
      </c>
      <c r="E8" s="313" t="s">
        <v>106</v>
      </c>
      <c r="F8" s="313" t="s">
        <v>107</v>
      </c>
      <c r="G8" s="304" t="s">
        <v>108</v>
      </c>
      <c r="H8" s="305" t="s">
        <v>109</v>
      </c>
      <c r="I8" s="306" t="str">
        <f>IF(H8&lt;=0,"",IF(H8="No se ha presentado en los últimos 5 años","Rara vez",IF(H8="Al menos 1 vez en los últimos 5 años","Improbable",IF(H8="Al menos 1 vez en los últimos 2 años","Posible",IF(H8="Al menos 1 vez en el último año","Probable",IF(H8="Más de 1 vez al año","Casi Seguro"))))))</f>
        <v>Rara vez</v>
      </c>
      <c r="J8" s="307">
        <f>IF(I8="","",IF(I8="Rara vez",0.2,IF(I8="Improbable",0.4,IF(I8="Posible",0.6,IF(I8="Probable",0.8,IF(I8="Casi Seguro",1,))))))</f>
        <v>0.2</v>
      </c>
      <c r="K8" s="308" t="s">
        <v>110</v>
      </c>
      <c r="L8" s="307" t="str">
        <f>IF(NOT(ISERROR(MATCH(K8,'Tabla Impacto'!$B$220:$B$222,0))),'Tabla Impacto'!$F$222&amp;"Por favor no seleccionar los criterios de impacto(Criterios para calificar el impacto)",K8)</f>
        <v>Responder afirmativamente de SEIS a ONCE</v>
      </c>
      <c r="M8" s="306" t="str">
        <f>IF(OR(L8='Tabla Impacto'!$C$5),"Moderado",IF(OR(L8='Tabla Impacto'!$C$6),"Mayor",IF(OR(L8='Tabla Impacto'!$C$7),"Catastrófico","")))</f>
        <v>Mayor</v>
      </c>
      <c r="N8" s="307">
        <f>IF(M8="","",IF(M8="Leve",0.2,IF(M8="Menor",0.4,IF(M8="Moderado",0.6,IF(M8="Mayor",0.8,IF(M8="Catastrófico",1,))))))</f>
        <v>0.8</v>
      </c>
      <c r="O8" s="309" t="str">
        <f>IF(OR(AND(I8="Rara vez",M8="Leve"),AND(I8="Rara vez",M8="Menor"),AND(I8="Improbable",M8="Leve")),"Bajo",IF(OR(AND(I8="Rara vez",M8="Moderado"),AND(I8="Improbable",M8="Menor"),AND(I8="Improbable",M8="Moderado"),AND(I8="Posible",M8="Leve"),AND(I8="Posible",M8="Menor"),AND(I8="Posible",M8="Moderado"),AND(I8="Probable",M8="Leve"),AND(I8="Probable",M8="Menor")),"Moderado",IF(OR(AND(I8="Rara vez",M8="Mayor"),AND(I8="Improbable",M8="Mayor"),AND(I8="Posible",M8="Mayor"),AND(I8="Probable",M8="Moderado"),AND(I8="Probable",M8="Mayor"),AND(I8="Casi Seguro",M8="Leve"),AND(I8="Casi Seguro",M8="Menor"),AND(I8="Casi Seguro",M8="Moderado"),AND(I8="Casi Seguro",M8="Mayor")),"Alto",IF(OR(AND(I8="Rara vez",M8="Catastrófico"),AND(I8="Improbable",M8="Catastrófico"),AND(I8="Posible",M8="Catastrófico"),AND(I8="Probable",M8="Catastrófico"),AND(I8="Casi Seguro",M8="Catastrófico")),"Extremo",""))))</f>
        <v>Alto</v>
      </c>
      <c r="P8" s="168">
        <v>1</v>
      </c>
      <c r="Q8" s="129" t="s">
        <v>111</v>
      </c>
      <c r="R8" s="169" t="str">
        <f>IF(OR(S8="Preventivo",S8="Detectivo"),"Probabilidad",IF(S8="Correctivo","Impacto",""))</f>
        <v>Probabilidad</v>
      </c>
      <c r="S8" s="170" t="s">
        <v>112</v>
      </c>
      <c r="T8" s="170" t="s">
        <v>113</v>
      </c>
      <c r="U8" s="171" t="str">
        <f>IF(AND(S8="Preventivo",T8="Automático"),"50%",IF(AND(S8="Preventivo",T8="Manual"),"40%",IF(AND(S8="Detectivo",T8="Automático"),"40%",IF(AND(S8="Detectivo",T8="Manual"),"30%",IF(AND(S8="Correctivo",T8="Automático"),"35%",IF(AND(S8="Correctivo",T8="Manual"),"25%",""))))))</f>
        <v>40%</v>
      </c>
      <c r="V8" s="170" t="s">
        <v>114</v>
      </c>
      <c r="W8" s="170" t="s">
        <v>115</v>
      </c>
      <c r="X8" s="170" t="s">
        <v>116</v>
      </c>
      <c r="Y8" s="172">
        <f>IFERROR(IF(R8="Probabilidad",(J8-(+J8*U8)),IF(R8="Impacto",J8,"")),"")</f>
        <v>0.12</v>
      </c>
      <c r="Z8" s="173" t="str">
        <f>IFERROR(IF(Y8="","",IF(Y8&lt;=0.2,"Rara vez",IF(Y8&lt;=0.4,"Improbable",IF(Y8&lt;=0.6,"Posible",IF(Y8&lt;=0.8,"Probable","Casi Seguro"))))),"")</f>
        <v>Rara vez</v>
      </c>
      <c r="AA8" s="171">
        <f>+Y8</f>
        <v>0.12</v>
      </c>
      <c r="AB8" s="173" t="str">
        <f>IFERROR(IF(AC8="","",IF(AC8&lt;=0.6,"Moderado",IF(AC8&lt;=0.8,"Mayor","Catastrófico"))),"")</f>
        <v>Mayor</v>
      </c>
      <c r="AC8" s="171">
        <f>IFERROR(IF(R8="Impacto",(N8-(+N8*U8)),IF(R8="Probabilidad",N8,"")),"")</f>
        <v>0.8</v>
      </c>
      <c r="AD8" s="174" t="str">
        <f>IFERROR(IF(OR(AND(Z8="Rara vez",AB8="Leve"),AND(Z8="Rara vez",AB8="Menor"),AND(Z8="Improbable",AB8="Leve")),"Bajo",IF(OR(AND(Z8="Rara vez",AB8="Moderado"),AND(Z8="Improbable",AB8="Menor"),AND(Z8="Improbable",AB8="Moderado"),AND(Z8="Posible",AB8="Leve"),AND(Z8="Posible",AB8="Menor"),AND(Z8="Posible",AB8="Moderado"),AND(Z8="Probable",AB8="Leve"),AND(Z8="Probable",AB8="Menor")),"Moderado",IF(OR(AND(Z8="Rara vez",AB8="Mayor"),AND(Z8="Improbable",AB8="Mayor"),AND(Z8="Posible",AB8="Mayor"),AND(Z8="Probable",AB8="Moderado"),AND(Z8="Probable",AB8="Mayor"),AND(Z8="Casi Seguro",AB8="Leve"),AND(Z8="Casi Seguro",AB8="Menor"),AND(Z8="Casi Seguro",AB8="Moderado"),AND(Z8="Casi Seguro",AB8="Mayor")),"Alto",IF(OR(AND(Z8="Rara vez",AB8="Catastrófico"),AND(Z8="Improbable",AB8="Catastrófico"),AND(Z8="Posible",AB8="Catastrófico"),AND(Z8="Probable",AB8="Catastrófico"),AND(Z8="Casi Seguro",AB8="Catastrófico")),"Extremo","")))),"")</f>
        <v>Alto</v>
      </c>
      <c r="AE8" s="170"/>
      <c r="AF8" s="123"/>
      <c r="AG8" s="123"/>
      <c r="AH8" s="175"/>
      <c r="AI8" s="176"/>
      <c r="AJ8" s="177"/>
      <c r="AK8" s="522"/>
      <c r="AL8" s="536"/>
      <c r="AM8" s="536"/>
      <c r="AN8" s="536"/>
      <c r="AO8" s="536"/>
      <c r="AP8" s="536"/>
      <c r="AQ8" s="536"/>
      <c r="AR8" s="536"/>
      <c r="AS8" s="178"/>
      <c r="AT8" s="178"/>
      <c r="AU8" s="178"/>
      <c r="AV8" s="178"/>
      <c r="AW8" s="178"/>
      <c r="AX8" s="178"/>
      <c r="AY8" s="178"/>
      <c r="AZ8" s="178"/>
      <c r="BA8" s="178"/>
      <c r="BB8" s="178"/>
      <c r="BC8" s="178"/>
      <c r="BD8" s="178"/>
      <c r="BE8" s="178"/>
      <c r="BF8" s="178"/>
      <c r="BG8" s="178"/>
      <c r="BH8" s="178"/>
      <c r="BI8" s="178"/>
      <c r="BJ8" s="178"/>
    </row>
    <row r="9" spans="1:62" ht="109.5" customHeight="1" x14ac:dyDescent="0.2">
      <c r="B9" s="314"/>
      <c r="C9" s="324"/>
      <c r="D9" s="317"/>
      <c r="E9" s="313"/>
      <c r="F9" s="313"/>
      <c r="G9" s="304"/>
      <c r="H9" s="305"/>
      <c r="I9" s="306"/>
      <c r="J9" s="307"/>
      <c r="K9" s="308"/>
      <c r="L9" s="307">
        <f>IF(NOT(ISERROR(MATCH(K9,_xlfn.ANCHORARRAY(G14),0))),J16&amp;"Por favor no seleccionar los criterios de impacto",K9)</f>
        <v>0</v>
      </c>
      <c r="M9" s="306"/>
      <c r="N9" s="307"/>
      <c r="O9" s="309"/>
      <c r="P9" s="168">
        <v>2</v>
      </c>
      <c r="Q9" s="129" t="s">
        <v>117</v>
      </c>
      <c r="R9" s="169" t="s">
        <v>118</v>
      </c>
      <c r="S9" s="170" t="s">
        <v>112</v>
      </c>
      <c r="T9" s="170" t="s">
        <v>113</v>
      </c>
      <c r="U9" s="171" t="str">
        <f t="shared" ref="U9" si="0">IF(AND(S9="Preventivo",T9="Automático"),"50%",IF(AND(S9="Preventivo",T9="Manual"),"40%",IF(AND(S9="Detectivo",T9="Automático"),"40%",IF(AND(S9="Detectivo",T9="Manual"),"30%",IF(AND(S9="Correctivo",T9="Automático"),"35%",IF(AND(S9="Correctivo",T9="Manual"),"25%",""))))))</f>
        <v>40%</v>
      </c>
      <c r="V9" s="170" t="s">
        <v>119</v>
      </c>
      <c r="W9" s="170" t="s">
        <v>115</v>
      </c>
      <c r="X9" s="170" t="s">
        <v>116</v>
      </c>
      <c r="Y9" s="172">
        <f>IFERROR(IF(AND(R8="Probabilidad",R9="Probabilidad"),(AA8-(+AA8*U9)),IF(R9="Probabilidad",(J8-(+J8*U9)),IF(R9="Impacto",AA8,""))),"")</f>
        <v>7.1999999999999995E-2</v>
      </c>
      <c r="Z9" s="173" t="str">
        <f t="shared" ref="Z9" si="1">IFERROR(IF(Y9="","",IF(Y9&lt;=0.2,"Rara vez",IF(Y9&lt;=0.4,"Improbable",IF(Y9&lt;=0.6,"Posible",IF(Y9&lt;=0.8,"Probable","Casi Seguro"))))),"")</f>
        <v>Rara vez</v>
      </c>
      <c r="AA9" s="171">
        <f t="shared" ref="AA9" si="2">+Y9</f>
        <v>7.1999999999999995E-2</v>
      </c>
      <c r="AB9" s="173" t="str">
        <f t="shared" ref="AB9" si="3">IFERROR(IF(AC9="","",IF(AC9&lt;=0.6,"Moderado",IF(AC9&lt;=0.8,"Mayor","Catastrófico"))),"")</f>
        <v>Mayor</v>
      </c>
      <c r="AC9" s="171">
        <f>IFERROR(IF(AND(R8="Impacto",R9="Impacto"),(AC8-(+AC8*U9)),IF(R9="Impacto",(N8-(+N8*U9)),IF(R9="Probabilidad",AC8,""))),"")</f>
        <v>0.8</v>
      </c>
      <c r="AD9" s="174" t="str">
        <f>IFERROR(IF(OR(AND(Z9="Rara vez",AB9="Leve"),AND(Z9="Rara vez",AB9="Menor"),AND(Z9="Improbable",AB9="Leve")),"Bajo",IF(OR(AND(Z9="Rara vez",AB9="Moderado"),AND(Z9="Improbable",AB9="Menor"),AND(Z9="Improbable",AB9="Moderado"),AND(Z9="Posible",AB9="Leve"),AND(Z9="Posible",AB9="Menor"),AND(Z9="Posible",AB9="Moderado"),AND(Z9="Probable",AB9="Leve"),AND(Z9="Probable",AB9="Menor")),"Moderado",IF(OR(AND(Z9="Rara vez",AB9="Mayor"),AND(Z9="Improbable",AB9="Mayor"),AND(Z9="Posible",AB9="Mayor"),AND(Z9="Probable",AB9="Moderado"),AND(Z9="Probable",AB9="Mayor"),AND(Z9="Casi Seguro",AB9="Leve"),AND(Z9="Casi Seguro",AB9="Menor"),AND(Z9="Casi Seguro",AB9="Moderado"),AND(Z9="Casi Seguro",AB9="Mayor")),"Alto",IF(OR(AND(Z9="Rara vez",AB9="Catastrófico"),AND(Z9="Improbable",AB9="Catastrófico"),AND(Z9="Posible",AB9="Catastrófico"),AND(Z9="Probable",AB9="Catastrófico"),AND(Z9="Casi Seguro",AB9="Catastrófico")),"Extremo","")))),"")</f>
        <v>Alto</v>
      </c>
      <c r="AE9" s="179" t="s">
        <v>120</v>
      </c>
      <c r="AF9" s="132" t="s">
        <v>121</v>
      </c>
      <c r="AG9" s="132" t="s">
        <v>122</v>
      </c>
      <c r="AH9" s="180">
        <v>45833</v>
      </c>
      <c r="AI9" s="176"/>
      <c r="AJ9" s="181"/>
      <c r="AK9" s="523" t="s">
        <v>123</v>
      </c>
      <c r="AL9" s="535"/>
      <c r="AM9" s="535"/>
      <c r="AN9" s="535"/>
      <c r="AO9" s="535"/>
      <c r="AP9" s="535"/>
      <c r="AQ9" s="535"/>
      <c r="AR9" s="535"/>
      <c r="AS9" s="158"/>
      <c r="AT9" s="158"/>
      <c r="AU9" s="158"/>
      <c r="AV9" s="158"/>
      <c r="AW9" s="158"/>
      <c r="AX9" s="158"/>
      <c r="AY9" s="158"/>
      <c r="AZ9" s="158"/>
      <c r="BA9" s="158"/>
      <c r="BB9" s="158"/>
      <c r="BC9" s="158"/>
      <c r="BD9" s="158"/>
      <c r="BE9" s="158"/>
      <c r="BF9" s="158"/>
      <c r="BG9" s="158"/>
      <c r="BH9" s="158"/>
      <c r="BI9" s="158"/>
      <c r="BJ9" s="158"/>
    </row>
    <row r="10" spans="1:62" x14ac:dyDescent="0.2">
      <c r="B10" s="314"/>
      <c r="C10" s="324"/>
      <c r="D10" s="317"/>
      <c r="E10" s="313"/>
      <c r="F10" s="313"/>
      <c r="G10" s="304"/>
      <c r="H10" s="305"/>
      <c r="I10" s="306"/>
      <c r="J10" s="307"/>
      <c r="K10" s="308"/>
      <c r="L10" s="307">
        <f>IF(NOT(ISERROR(MATCH(K10,_xlfn.ANCHORARRAY(G15),0))),J17&amp;"Por favor no seleccionar los criterios de impacto",K10)</f>
        <v>0</v>
      </c>
      <c r="M10" s="306"/>
      <c r="N10" s="307"/>
      <c r="O10" s="309"/>
      <c r="P10" s="168">
        <v>3</v>
      </c>
      <c r="Q10" s="126"/>
      <c r="R10" s="169"/>
      <c r="S10" s="182"/>
      <c r="T10" s="170"/>
      <c r="U10" s="171"/>
      <c r="V10" s="170"/>
      <c r="W10" s="170"/>
      <c r="X10" s="170"/>
      <c r="Y10" s="172"/>
      <c r="Z10" s="173"/>
      <c r="AA10" s="171"/>
      <c r="AB10" s="173"/>
      <c r="AC10" s="171"/>
      <c r="AD10" s="174"/>
      <c r="AE10" s="183"/>
      <c r="AF10" s="184"/>
      <c r="AG10" s="185"/>
      <c r="AH10" s="186"/>
      <c r="AI10" s="187"/>
      <c r="AJ10" s="188"/>
      <c r="AK10" s="523"/>
      <c r="AL10" s="535"/>
      <c r="AM10" s="535"/>
      <c r="AN10" s="535"/>
      <c r="AO10" s="535"/>
      <c r="AP10" s="535"/>
      <c r="AQ10" s="535"/>
      <c r="AR10" s="535"/>
      <c r="AS10" s="158"/>
      <c r="AT10" s="158"/>
      <c r="AU10" s="158"/>
      <c r="AV10" s="158"/>
      <c r="AW10" s="158"/>
      <c r="AX10" s="158"/>
      <c r="AY10" s="158"/>
      <c r="AZ10" s="158"/>
      <c r="BA10" s="158"/>
      <c r="BB10" s="158"/>
      <c r="BC10" s="158"/>
      <c r="BD10" s="158"/>
      <c r="BE10" s="158"/>
      <c r="BF10" s="158"/>
      <c r="BG10" s="158"/>
      <c r="BH10" s="158"/>
      <c r="BI10" s="158"/>
      <c r="BJ10" s="158"/>
    </row>
    <row r="11" spans="1:62" x14ac:dyDescent="0.2">
      <c r="B11" s="314"/>
      <c r="C11" s="324"/>
      <c r="D11" s="317"/>
      <c r="E11" s="313"/>
      <c r="F11" s="313"/>
      <c r="G11" s="304"/>
      <c r="H11" s="305"/>
      <c r="I11" s="306"/>
      <c r="J11" s="307"/>
      <c r="K11" s="308"/>
      <c r="L11" s="307">
        <f>IF(NOT(ISERROR(MATCH(K11,_xlfn.ANCHORARRAY(G16),0))),J18&amp;"Por favor no seleccionar los criterios de impacto",K11)</f>
        <v>0</v>
      </c>
      <c r="M11" s="306"/>
      <c r="N11" s="307"/>
      <c r="O11" s="309"/>
      <c r="P11" s="168">
        <v>4</v>
      </c>
      <c r="Q11" s="127"/>
      <c r="R11" s="169" t="str">
        <f t="shared" ref="R11:R13" si="4">IF(OR(S11="Preventivo",S11="Detectivo"),"Probabilidad",IF(S11="Correctivo","Impacto",""))</f>
        <v/>
      </c>
      <c r="S11" s="170"/>
      <c r="T11" s="170"/>
      <c r="U11" s="171" t="str">
        <f t="shared" ref="U11:U13" si="5">IF(AND(S11="Preventivo",T11="Automático"),"50%",IF(AND(S11="Preventivo",T11="Manual"),"40%",IF(AND(S11="Detectivo",T11="Automático"),"40%",IF(AND(S11="Detectivo",T11="Manual"),"30%",IF(AND(S11="Correctivo",T11="Automático"),"35%",IF(AND(S11="Correctivo",T11="Manual"),"25%",""))))))</f>
        <v/>
      </c>
      <c r="V11" s="170"/>
      <c r="W11" s="170"/>
      <c r="X11" s="170"/>
      <c r="Y11" s="172" t="str">
        <f t="shared" ref="Y11:Y13" si="6">IFERROR(IF(AND(R10="Probabilidad",R11="Probabilidad"),(AA10-(+AA10*U11)),IF(AND(R10="Impacto",R11="Probabilidad"),(AA9-(+AA9*U11)),IF(R11="Impacto",AA10,""))),"")</f>
        <v/>
      </c>
      <c r="Z11" s="173" t="str">
        <f t="shared" ref="Z11" si="7">IFERROR(IF(Y11="","",IF(Y11&lt;=0.2,"Muy Baja",IF(Y11&lt;=0.4,"Baja",IF(Y11&lt;=0.6,"Media",IF(Y11&lt;=0.8,"Alta","Muy Alta"))))),"")</f>
        <v/>
      </c>
      <c r="AA11" s="171" t="str">
        <f t="shared" ref="AA11:AA13" si="8">+Y11</f>
        <v/>
      </c>
      <c r="AB11" s="173" t="str">
        <f t="shared" ref="AB11" si="9">IFERROR(IF(AC11="","",IF(AC11&lt;=0.2,"Leve",IF(AC11&lt;=0.4,"Menor",IF(AC11&lt;=0.6,"Moderado",IF(AC11&lt;=0.8,"Mayor","Catastrófico"))))),"")</f>
        <v/>
      </c>
      <c r="AC11" s="171" t="str">
        <f t="shared" ref="AC11:AC13" si="10">IFERROR(IF(AND(R10="Impacto",R11="Impacto"),(AC10-(+AC10*U11)),IF(AND(R10="Probabilidad",R11="Impacto"),(AC9-(+AC9*U11)),IF(R11="Probabilidad",AC10,""))),"")</f>
        <v/>
      </c>
      <c r="AD11" s="174" t="str">
        <f>IFERROR(IF(OR(AND(Z11="Muy Baja",AB11="Leve"),AND(Z11="Muy Baja",AB11="Menor"),AND(Z11="Baja",AB11="Leve")),"Bajo",IF(OR(AND(Z11="Muy baja",AB11="Moderado"),AND(Z11="Baja",AB11="Menor"),AND(Z11="Baja",AB11="Moderado"),AND(Z11="Media",AB11="Leve"),AND(Z11="Media",AB11="Menor"),AND(Z11="Media",AB11="Moderado"),AND(Z11="Alta",AB11="Leve"),AND(Z11="Alta",AB11="Menor")),"Moderado",IF(OR(AND(Z11="Muy Baja",AB11="Mayor"),AND(Z11="Baja",AB11="Mayor"),AND(Z11="Media",AB11="Mayor"),AND(Z11="Alta",AB11="Moderado"),AND(Z11="Alta",AB11="Mayor"),AND(Z11="Muy Alta",AB11="Leve"),AND(Z11="Muy Alta",AB11="Menor"),AND(Z11="Muy Alta",AB11="Moderado"),AND(Z11="Muy Alta",AB11="Mayor")),"Alto",IF(OR(AND(Z11="Muy Baja",AB11="Catastrófico"),AND(Z11="Baja",AB11="Catastrófico"),AND(Z11="Media",AB11="Catastrófico"),AND(Z11="Alta",AB11="Catastrófico"),AND(Z11="Muy Alta",AB11="Catastrófico")),"Extremo","")))),"")</f>
        <v/>
      </c>
      <c r="AE11" s="179"/>
      <c r="AF11" s="189"/>
      <c r="AG11" s="190"/>
      <c r="AH11" s="191"/>
      <c r="AI11" s="176"/>
      <c r="AJ11" s="177"/>
      <c r="AK11" s="522"/>
      <c r="AL11" s="535"/>
      <c r="AM11" s="535"/>
      <c r="AN11" s="535"/>
      <c r="AO11" s="535"/>
      <c r="AP11" s="535"/>
      <c r="AQ11" s="535"/>
      <c r="AR11" s="535"/>
      <c r="AS11" s="158"/>
      <c r="AT11" s="158"/>
      <c r="AU11" s="158"/>
      <c r="AV11" s="158"/>
      <c r="AW11" s="158"/>
      <c r="AX11" s="158"/>
      <c r="AY11" s="158"/>
      <c r="AZ11" s="158"/>
      <c r="BA11" s="158"/>
      <c r="BB11" s="158"/>
      <c r="BC11" s="158"/>
      <c r="BD11" s="158"/>
      <c r="BE11" s="158"/>
      <c r="BF11" s="158"/>
      <c r="BG11" s="158"/>
      <c r="BH11" s="158"/>
      <c r="BI11" s="158"/>
      <c r="BJ11" s="158"/>
    </row>
    <row r="12" spans="1:62" x14ac:dyDescent="0.2">
      <c r="B12" s="314"/>
      <c r="C12" s="324"/>
      <c r="D12" s="317"/>
      <c r="E12" s="313"/>
      <c r="F12" s="313"/>
      <c r="G12" s="304"/>
      <c r="H12" s="305"/>
      <c r="I12" s="306"/>
      <c r="J12" s="307"/>
      <c r="K12" s="308"/>
      <c r="L12" s="307">
        <f>IF(NOT(ISERROR(MATCH(K12,_xlfn.ANCHORARRAY(G17),0))),J19&amp;"Por favor no seleccionar los criterios de impacto",K12)</f>
        <v>0</v>
      </c>
      <c r="M12" s="306"/>
      <c r="N12" s="307"/>
      <c r="O12" s="309"/>
      <c r="P12" s="168">
        <v>5</v>
      </c>
      <c r="Q12" s="127"/>
      <c r="R12" s="169" t="str">
        <f t="shared" si="4"/>
        <v/>
      </c>
      <c r="S12" s="170"/>
      <c r="T12" s="170"/>
      <c r="U12" s="171" t="str">
        <f t="shared" si="5"/>
        <v/>
      </c>
      <c r="V12" s="170"/>
      <c r="W12" s="170"/>
      <c r="X12" s="170"/>
      <c r="Y12" s="172" t="str">
        <f t="shared" si="6"/>
        <v/>
      </c>
      <c r="Z12" s="173" t="str">
        <f t="shared" ref="Z12:Z13" si="11">IFERROR(IF(Y12="","",IF(Y12&lt;=0.2,"Rara vez",IF(Y12&lt;=0.4,"Improbable",IF(Y12&lt;=0.6,"Posible",IF(Y12&lt;=0.8,"Probable","Casi Seguro"))))),"")</f>
        <v/>
      </c>
      <c r="AA12" s="171" t="str">
        <f t="shared" si="8"/>
        <v/>
      </c>
      <c r="AB12" s="173" t="str">
        <f t="shared" ref="AB12:AB13" si="12">IFERROR(IF(AC12="","",IF(AC12&lt;=0.6,"Moderado",IF(AC12&lt;=0.8,"Mayor","Catastrófico"))),"")</f>
        <v/>
      </c>
      <c r="AC12" s="171" t="str">
        <f t="shared" si="10"/>
        <v/>
      </c>
      <c r="AD12" s="174" t="str">
        <f t="shared" ref="AD12:AD13" si="13">IFERROR(IF(OR(AND(Z12="Muy Baja",AB12="Leve"),AND(Z12="Muy Baja",AB12="Menor"),AND(Z12="Baja",AB12="Leve")),"Bajo",IF(OR(AND(Z12="Muy baja",AB12="Moderado"),AND(Z12="Baja",AB12="Menor"),AND(Z12="Baja",AB12="Moderado"),AND(Z12="Media",AB12="Leve"),AND(Z12="Media",AB12="Menor"),AND(Z12="Media",AB12="Moderado"),AND(Z12="Alta",AB12="Leve"),AND(Z12="Alta",AB12="Menor")),"Moderado",IF(OR(AND(Z12="Muy Baja",AB12="Mayor"),AND(Z12="Baja",AB12="Mayor"),AND(Z12="Media",AB12="Mayor"),AND(Z12="Alta",AB12="Moderado"),AND(Z12="Alta",AB12="Mayor"),AND(Z12="Muy Alta",AB12="Leve"),AND(Z12="Muy Alta",AB12="Menor"),AND(Z12="Muy Alta",AB12="Moderado"),AND(Z12="Muy Alta",AB12="Mayor")),"Alto",IF(OR(AND(Z12="Muy Baja",AB12="Catastrófico"),AND(Z12="Baja",AB12="Catastrófico"),AND(Z12="Media",AB12="Catastrófico"),AND(Z12="Alta",AB12="Catastrófico"),AND(Z12="Muy Alta",AB12="Catastrófico")),"Extremo","")))),"")</f>
        <v/>
      </c>
      <c r="AE12" s="179"/>
      <c r="AF12" s="192"/>
      <c r="AG12" s="193"/>
      <c r="AH12" s="176"/>
      <c r="AI12" s="176"/>
      <c r="AJ12" s="177"/>
      <c r="AK12" s="522"/>
      <c r="AL12" s="535"/>
      <c r="AM12" s="535"/>
      <c r="AN12" s="535"/>
      <c r="AO12" s="535"/>
      <c r="AP12" s="535"/>
      <c r="AQ12" s="535"/>
      <c r="AR12" s="535"/>
      <c r="AS12" s="158"/>
      <c r="AT12" s="158"/>
      <c r="AU12" s="158"/>
      <c r="AV12" s="158"/>
      <c r="AW12" s="158"/>
      <c r="AX12" s="158"/>
      <c r="AY12" s="158"/>
      <c r="AZ12" s="158"/>
      <c r="BA12" s="158"/>
      <c r="BB12" s="158"/>
      <c r="BC12" s="158"/>
      <c r="BD12" s="158"/>
      <c r="BE12" s="158"/>
      <c r="BF12" s="158"/>
      <c r="BG12" s="158"/>
      <c r="BH12" s="158"/>
      <c r="BI12" s="158"/>
      <c r="BJ12" s="158"/>
    </row>
    <row r="13" spans="1:62" ht="20.25" customHeight="1" x14ac:dyDescent="0.2">
      <c r="B13" s="314"/>
      <c r="C13" s="324"/>
      <c r="D13" s="317"/>
      <c r="E13" s="313"/>
      <c r="F13" s="313"/>
      <c r="G13" s="304"/>
      <c r="H13" s="305"/>
      <c r="I13" s="306"/>
      <c r="J13" s="307"/>
      <c r="K13" s="308"/>
      <c r="L13" s="307">
        <f>IF(NOT(ISERROR(MATCH(K13,_xlfn.ANCHORARRAY(G18),0))),#REF!&amp;"Por favor no seleccionar los criterios de impacto",K13)</f>
        <v>0</v>
      </c>
      <c r="M13" s="306"/>
      <c r="N13" s="307"/>
      <c r="O13" s="309"/>
      <c r="P13" s="168">
        <v>6</v>
      </c>
      <c r="Q13" s="127"/>
      <c r="R13" s="169" t="str">
        <f t="shared" si="4"/>
        <v/>
      </c>
      <c r="S13" s="170"/>
      <c r="T13" s="170"/>
      <c r="U13" s="171" t="str">
        <f t="shared" si="5"/>
        <v/>
      </c>
      <c r="V13" s="170"/>
      <c r="W13" s="170"/>
      <c r="X13" s="170"/>
      <c r="Y13" s="172" t="str">
        <f t="shared" si="6"/>
        <v/>
      </c>
      <c r="Z13" s="173" t="str">
        <f t="shared" si="11"/>
        <v/>
      </c>
      <c r="AA13" s="171" t="str">
        <f t="shared" si="8"/>
        <v/>
      </c>
      <c r="AB13" s="173" t="str">
        <f t="shared" si="12"/>
        <v/>
      </c>
      <c r="AC13" s="171" t="str">
        <f t="shared" si="10"/>
        <v/>
      </c>
      <c r="AD13" s="174" t="str">
        <f t="shared" si="13"/>
        <v/>
      </c>
      <c r="AE13" s="179"/>
      <c r="AF13" s="192"/>
      <c r="AG13" s="193"/>
      <c r="AH13" s="176"/>
      <c r="AI13" s="176"/>
      <c r="AJ13" s="177"/>
      <c r="AK13" s="522"/>
      <c r="AL13" s="535"/>
      <c r="AM13" s="535"/>
      <c r="AN13" s="535"/>
      <c r="AO13" s="535"/>
      <c r="AP13" s="535"/>
      <c r="AQ13" s="535"/>
      <c r="AR13" s="535"/>
      <c r="AS13" s="158"/>
      <c r="AT13" s="158"/>
      <c r="AU13" s="158"/>
      <c r="AV13" s="158"/>
      <c r="AW13" s="158"/>
      <c r="AX13" s="158"/>
      <c r="AY13" s="158"/>
      <c r="AZ13" s="158"/>
      <c r="BA13" s="158"/>
      <c r="BB13" s="158"/>
      <c r="BC13" s="158"/>
      <c r="BD13" s="158"/>
      <c r="BE13" s="158"/>
      <c r="BF13" s="158"/>
      <c r="BG13" s="158"/>
      <c r="BH13" s="158"/>
      <c r="BI13" s="158"/>
      <c r="BJ13" s="158"/>
    </row>
    <row r="14" spans="1:62" s="163" customFormat="1" ht="135" customHeight="1" x14ac:dyDescent="0.25">
      <c r="B14" s="314" t="s">
        <v>124</v>
      </c>
      <c r="C14" s="324" t="s">
        <v>125</v>
      </c>
      <c r="D14" s="317" t="s">
        <v>126</v>
      </c>
      <c r="E14" s="313" t="s">
        <v>127</v>
      </c>
      <c r="F14" s="304" t="s">
        <v>128</v>
      </c>
      <c r="G14" s="313" t="s">
        <v>129</v>
      </c>
      <c r="H14" s="305" t="s">
        <v>130</v>
      </c>
      <c r="I14" s="306" t="str">
        <f>IF(H14&lt;=0,"",IF(H14="No se ha presentado en los últimos 5 años","Rara vez",IF(H14="Al menos 1 vez en los últimos 5 años","Improbable",IF(H14="Al menos 1 vez en los últimos 2 años","Posible",IF(H14="Al menos 1 vez en el último año","Probable",IF(H14="Más de 1 vez al año","Casi Seguro"))))))</f>
        <v>Improbable</v>
      </c>
      <c r="J14" s="307">
        <f>IF(I14="","",IF(I14="Rara vez",0.2,IF(I14="Improbable",0.4,IF(I14="Posible",0.6,IF(I14="Probable",0.8,IF(I14="Casi Seguro",1,))))))</f>
        <v>0.4</v>
      </c>
      <c r="K14" s="308" t="s">
        <v>131</v>
      </c>
      <c r="L14" s="307" t="str">
        <f>IF(NOT(ISERROR(MATCH(K14,'Tabla Impacto'!$B$220:$B$222,0))),'Tabla Impacto'!$F$222&amp;"Por favor no seleccionar los criterios de impacto(Criterios para calificar el impacto)",K14)</f>
        <v xml:space="preserve">Responder afirmativamente de DOCE a DIECINUEVE </v>
      </c>
      <c r="M14" s="306" t="str">
        <f>IF(OR(L14='Tabla Impacto'!$C$5),"Moderado",IF(OR(L14='Tabla Impacto'!$C$6),"Mayor",IF(OR(L14='Tabla Impacto'!$C$7),"Catastrófico","")))</f>
        <v>Catastrófico</v>
      </c>
      <c r="N14" s="307">
        <f>IF(M14="","",IF(M14="Leve",0.2,IF(M14="Menor",0.4,IF(M14="Moderado",0.6,IF(M14="Mayor",0.8,IF(M14="Catastrófico",1,))))))</f>
        <v>1</v>
      </c>
      <c r="O14" s="309" t="str">
        <f>IF(OR(AND(I14="Rara vez",M14="Leve"),AND(I14="Rara vez",M14="Menor"),AND(I14="Improbable",M14="Leve")),"Bajo",IF(OR(AND(I14="Rara vez",M14="Moderado"),AND(I14="Improbable",M14="Menor"),AND(I14="Improbable",M14="Moderado"),AND(I14="Posible",M14="Leve"),AND(I14="Posible",M14="Menor"),AND(I14="Posible",M14="Moderado"),AND(I14="Probable",M14="Leve"),AND(I14="Probable",M14="Menor")),"Moderado",IF(OR(AND(I14="Rara vez",M14="Mayor"),AND(I14="Improbable",M14="Mayor"),AND(I14="Posible",M14="Mayor"),AND(I14="Probable",M14="Moderado"),AND(I14="Probable",M14="Mayor"),AND(I14="Casi Seguro",M14="Leve"),AND(I14="Casi Seguro",M14="Menor"),AND(I14="Casi Seguro",M14="Moderado"),AND(I14="Casi Seguro",M14="Mayor")),"Alto",IF(OR(AND(I14="Rara vez",M14="Catastrófico"),AND(I14="Improbable",M14="Catastrófico"),AND(I14="Posible",M14="Catastrófico"),AND(I14="Probable",M14="Catastrófico"),AND(I14="Casi Seguro",M14="Catastrófico")),"Extremo",""))))</f>
        <v>Extremo</v>
      </c>
      <c r="P14" s="168">
        <v>1</v>
      </c>
      <c r="Q14" s="128" t="s">
        <v>132</v>
      </c>
      <c r="R14" s="169" t="str">
        <f>IF(OR(S14="Preventivo",S14="Detectivo"),"Probabilidad",IF(S14="Correctivo","Impacto",""))</f>
        <v>Probabilidad</v>
      </c>
      <c r="S14" s="170" t="s">
        <v>133</v>
      </c>
      <c r="T14" s="170" t="s">
        <v>113</v>
      </c>
      <c r="U14" s="171" t="str">
        <f>IF(AND(S14="Preventivo",T14="Automático"),"50%",IF(AND(S14="Preventivo",T14="Manual"),"40%",IF(AND(S14="Detectivo",T14="Automático"),"40%",IF(AND(S14="Detectivo",T14="Manual"),"30%",IF(AND(S14="Correctivo",T14="Automático"),"35%",IF(AND(S14="Correctivo",T14="Manual"),"25%",""))))))</f>
        <v>30%</v>
      </c>
      <c r="V14" s="170" t="s">
        <v>119</v>
      </c>
      <c r="W14" s="170" t="s">
        <v>115</v>
      </c>
      <c r="X14" s="170" t="s">
        <v>134</v>
      </c>
      <c r="Y14" s="172">
        <f>IFERROR(IF(R14="Probabilidad",(J14-(+J14*U14)),IF(R14="Impacto",J14,"")),"")</f>
        <v>0.28000000000000003</v>
      </c>
      <c r="Z14" s="173" t="str">
        <f>IFERROR(IF(Y14="","",IF(Y14&lt;=0.2,"Rara vez",IF(Y14&lt;=0.4,"Improbable",IF(Y14&lt;=0.6,"Posible",IF(Y14&lt;=0.8,"Probable","Casi Seguro"))))),"")</f>
        <v>Improbable</v>
      </c>
      <c r="AA14" s="171">
        <f>+Y14</f>
        <v>0.28000000000000003</v>
      </c>
      <c r="AB14" s="173" t="str">
        <f>IFERROR(IF(AC14="","",IF(AC14&lt;=0.6,"Moderado",IF(AC14&lt;=0.8,"Mayor","Catastrófico"))),"")</f>
        <v>Catastrófico</v>
      </c>
      <c r="AC14" s="171">
        <f>IFERROR(IF(R14="Impacto",(N14-(+N14*U14)),IF(R14="Probabilidad",N14,"")),"")</f>
        <v>1</v>
      </c>
      <c r="AD14" s="174" t="str">
        <f>IFERROR(IF(OR(AND(Z14="Rara vez",AB14="Leve"),AND(Z14="Rara vez",AB14="Menor"),AND(Z14="Improbable",AB14="Leve")),"Bajo",IF(OR(AND(Z14="Rara vez",AB14="Moderado"),AND(Z14="Improbable",AB14="Menor"),AND(Z14="Improbable",AB14="Moderado"),AND(Z14="Posible",AB14="Leve"),AND(Z14="Posible",AB14="Menor"),AND(Z14="Posible",AB14="Moderado"),AND(Z14="Probable",AB14="Leve"),AND(Z14="Probable",AB14="Menor")),"Moderado",IF(OR(AND(Z14="Rara vez",AB14="Mayor"),AND(Z14="Improbable",AB14="Mayor"),AND(Z14="Posible",AB14="Mayor"),AND(Z14="Probable",AB14="Moderado"),AND(Z14="Probable",AB14="Mayor"),AND(Z14="Casi Seguro",AB14="Leve"),AND(Z14="Casi Seguro",AB14="Menor"),AND(Z14="Casi Seguro",AB14="Moderado"),AND(Z14="Casi Seguro",AB14="Mayor")),"Alto",IF(OR(AND(Z14="Rara vez",AB14="Catastrófico"),AND(Z14="Improbable",AB14="Catastrófico"),AND(Z14="Posible",AB14="Catastrófico"),AND(Z14="Probable",AB14="Catastrófico"),AND(Z14="Casi Seguro",AB14="Catastrófico")),"Extremo","")))),"")</f>
        <v>Extremo</v>
      </c>
      <c r="AE14" s="170"/>
      <c r="AF14" s="123"/>
      <c r="AG14" s="123"/>
      <c r="AH14" s="175"/>
      <c r="AI14" s="176"/>
      <c r="AJ14" s="177"/>
      <c r="AK14" s="522"/>
      <c r="AL14" s="534"/>
      <c r="AM14" s="534"/>
      <c r="AN14" s="534"/>
      <c r="AO14" s="534"/>
      <c r="AP14" s="534"/>
      <c r="AQ14" s="534"/>
      <c r="AR14" s="534"/>
      <c r="AS14" s="178"/>
      <c r="AT14" s="178"/>
      <c r="AU14" s="178"/>
      <c r="AV14" s="178"/>
      <c r="AW14" s="178"/>
      <c r="AX14" s="178"/>
      <c r="AY14" s="178"/>
      <c r="AZ14" s="178"/>
      <c r="BA14" s="178"/>
      <c r="BB14" s="178"/>
      <c r="BC14" s="178"/>
      <c r="BD14" s="178"/>
      <c r="BE14" s="178"/>
      <c r="BF14" s="178"/>
      <c r="BG14" s="178"/>
      <c r="BH14" s="178"/>
      <c r="BI14" s="178"/>
      <c r="BJ14" s="178"/>
    </row>
    <row r="15" spans="1:62" ht="109.5" customHeight="1" x14ac:dyDescent="0.2">
      <c r="B15" s="314"/>
      <c r="C15" s="324"/>
      <c r="D15" s="317"/>
      <c r="E15" s="313"/>
      <c r="F15" s="304"/>
      <c r="G15" s="313"/>
      <c r="H15" s="305"/>
      <c r="I15" s="306"/>
      <c r="J15" s="307"/>
      <c r="K15" s="308"/>
      <c r="L15" s="307">
        <f>IF(NOT(ISERROR(MATCH(K15,_xlfn.ANCHORARRAY(G20),0))),J22&amp;"Por favor no seleccionar los criterios de impacto",K15)</f>
        <v>0</v>
      </c>
      <c r="M15" s="306"/>
      <c r="N15" s="307"/>
      <c r="O15" s="309"/>
      <c r="P15" s="168">
        <v>2</v>
      </c>
      <c r="Q15" s="129" t="s">
        <v>135</v>
      </c>
      <c r="R15" s="169" t="s">
        <v>136</v>
      </c>
      <c r="S15" s="182" t="s">
        <v>137</v>
      </c>
      <c r="T15" s="170" t="s">
        <v>113</v>
      </c>
      <c r="U15" s="171" t="str">
        <f t="shared" ref="U15:U19" si="14">IF(AND(S15="Preventivo",T15="Automático"),"50%",IF(AND(S15="Preventivo",T15="Manual"),"40%",IF(AND(S15="Detectivo",T15="Automático"),"40%",IF(AND(S15="Detectivo",T15="Manual"),"30%",IF(AND(S15="Correctivo",T15="Automático"),"35%",IF(AND(S15="Correctivo",T15="Manual"),"25%",""))))))</f>
        <v>25%</v>
      </c>
      <c r="V15" s="170" t="s">
        <v>119</v>
      </c>
      <c r="W15" s="170" t="s">
        <v>115</v>
      </c>
      <c r="X15" s="170" t="s">
        <v>134</v>
      </c>
      <c r="Y15" s="172">
        <f>IFERROR(IF(AND(R14="Probabilidad",R15="Probabilidad"),(AA14-(+AA14*U15)),IF(R15="Probabilidad",(J14-(+J14*U15)),IF(R15="Impacto",AA14,""))),"")</f>
        <v>0.28000000000000003</v>
      </c>
      <c r="Z15" s="173" t="str">
        <f t="shared" ref="Z15" si="15">IFERROR(IF(Y15="","",IF(Y15&lt;=0.2,"Rara vez",IF(Y15&lt;=0.4,"Improbable",IF(Y15&lt;=0.6,"Posible",IF(Y15&lt;=0.8,"Probable","Casi Seguro"))))),"")</f>
        <v>Improbable</v>
      </c>
      <c r="AA15" s="171">
        <f t="shared" ref="AA15:AA19" si="16">+Y15</f>
        <v>0.28000000000000003</v>
      </c>
      <c r="AB15" s="173" t="str">
        <f t="shared" ref="AB15" si="17">IFERROR(IF(AC15="","",IF(AC15&lt;=0.6,"Moderado",IF(AC15&lt;=0.8,"Mayor","Catastrófico"))),"")</f>
        <v>Mayor</v>
      </c>
      <c r="AC15" s="171">
        <f>IFERROR(IF(AND(R14="Impacto",R15="Impacto"),(AC14-(+AC14*U15)),IF(R15="Impacto",(N14-(+N14*U15)),IF(R15="Probabilidad",AC14,""))),"")</f>
        <v>0.75</v>
      </c>
      <c r="AD15" s="174" t="str">
        <f>IFERROR(IF(OR(AND(Z15="Rara vez",AB15="Leve"),AND(Z15="Rara vez",AB15="Menor"),AND(Z15="Improbable",AB15="Leve")),"Bajo",IF(OR(AND(Z15="Rara vez",AB15="Moderado"),AND(Z15="Improbable",AB15="Menor"),AND(Z15="Improbable",AB15="Moderado"),AND(Z15="Posible",AB15="Leve"),AND(Z15="Posible",AB15="Menor"),AND(Z15="Posible",AB15="Moderado"),AND(Z15="Probable",AB15="Leve"),AND(Z15="Probable",AB15="Menor")),"Moderado",IF(OR(AND(Z15="Rara vez",AB15="Mayor"),AND(Z15="Improbable",AB15="Mayor"),AND(Z15="Posible",AB15="Mayor"),AND(Z15="Probable",AB15="Moderado"),AND(Z15="Probable",AB15="Mayor"),AND(Z15="Casi Seguro",AB15="Leve"),AND(Z15="Casi Seguro",AB15="Menor"),AND(Z15="Casi Seguro",AB15="Moderado"),AND(Z15="Casi Seguro",AB15="Mayor")),"Alto",IF(OR(AND(Z15="Rara vez",AB15="Catastrófico"),AND(Z15="Improbable",AB15="Catastrófico"),AND(Z15="Posible",AB15="Catastrófico"),AND(Z15="Probable",AB15="Catastrófico"),AND(Z15="Casi Seguro",AB15="Catastrófico")),"Extremo","")))),"")</f>
        <v>Alto</v>
      </c>
      <c r="AE15" s="179"/>
      <c r="AF15" s="194"/>
      <c r="AG15" s="194"/>
      <c r="AH15" s="195"/>
      <c r="AI15" s="176"/>
      <c r="AJ15" s="181"/>
      <c r="AK15" s="522"/>
      <c r="AL15" s="535"/>
      <c r="AM15" s="535"/>
      <c r="AN15" s="535"/>
      <c r="AO15" s="535"/>
      <c r="AP15" s="535"/>
      <c r="AQ15" s="535"/>
      <c r="AR15" s="535"/>
      <c r="AS15" s="158"/>
      <c r="AT15" s="158"/>
      <c r="AU15" s="158"/>
      <c r="AV15" s="158"/>
      <c r="AW15" s="158"/>
      <c r="AX15" s="158"/>
      <c r="AY15" s="158"/>
      <c r="AZ15" s="158"/>
      <c r="BA15" s="158"/>
      <c r="BB15" s="158"/>
      <c r="BC15" s="158"/>
      <c r="BD15" s="158"/>
      <c r="BE15" s="158"/>
      <c r="BF15" s="158"/>
      <c r="BG15" s="158"/>
      <c r="BH15" s="158"/>
      <c r="BI15" s="158"/>
      <c r="BJ15" s="158"/>
    </row>
    <row r="16" spans="1:62" x14ac:dyDescent="0.2">
      <c r="B16" s="314"/>
      <c r="C16" s="324"/>
      <c r="D16" s="317"/>
      <c r="E16" s="313"/>
      <c r="F16" s="304"/>
      <c r="G16" s="313"/>
      <c r="H16" s="305"/>
      <c r="I16" s="306"/>
      <c r="J16" s="307"/>
      <c r="K16" s="308"/>
      <c r="L16" s="307">
        <f>IF(NOT(ISERROR(MATCH(K16,_xlfn.ANCHORARRAY(G21),0))),J23&amp;"Por favor no seleccionar los criterios de impacto",K16)</f>
        <v>0</v>
      </c>
      <c r="M16" s="306"/>
      <c r="N16" s="307"/>
      <c r="O16" s="309"/>
      <c r="P16" s="168">
        <v>3</v>
      </c>
      <c r="Q16" s="126"/>
      <c r="R16" s="169"/>
      <c r="S16" s="182"/>
      <c r="T16" s="170"/>
      <c r="U16" s="171"/>
      <c r="V16" s="170"/>
      <c r="W16" s="170"/>
      <c r="X16" s="170"/>
      <c r="Y16" s="172"/>
      <c r="Z16" s="173"/>
      <c r="AA16" s="171"/>
      <c r="AB16" s="173"/>
      <c r="AC16" s="171"/>
      <c r="AD16" s="174"/>
      <c r="AE16" s="183"/>
      <c r="AF16" s="184"/>
      <c r="AG16" s="185"/>
      <c r="AH16" s="186"/>
      <c r="AI16" s="187"/>
      <c r="AJ16" s="188"/>
      <c r="AK16" s="523"/>
      <c r="AL16" s="535"/>
      <c r="AM16" s="535"/>
      <c r="AN16" s="535"/>
      <c r="AO16" s="535"/>
      <c r="AP16" s="535"/>
      <c r="AQ16" s="535"/>
      <c r="AR16" s="535"/>
      <c r="AS16" s="158"/>
      <c r="AT16" s="158"/>
      <c r="AU16" s="158"/>
      <c r="AV16" s="158"/>
      <c r="AW16" s="158"/>
      <c r="AX16" s="158"/>
      <c r="AY16" s="158"/>
      <c r="AZ16" s="158"/>
      <c r="BA16" s="158"/>
      <c r="BB16" s="158"/>
      <c r="BC16" s="158"/>
      <c r="BD16" s="158"/>
      <c r="BE16" s="158"/>
      <c r="BF16" s="158"/>
      <c r="BG16" s="158"/>
      <c r="BH16" s="158"/>
      <c r="BI16" s="158"/>
      <c r="BJ16" s="158"/>
    </row>
    <row r="17" spans="2:62" x14ac:dyDescent="0.2">
      <c r="B17" s="314"/>
      <c r="C17" s="324"/>
      <c r="D17" s="317"/>
      <c r="E17" s="313"/>
      <c r="F17" s="304"/>
      <c r="G17" s="313"/>
      <c r="H17" s="305"/>
      <c r="I17" s="306"/>
      <c r="J17" s="307"/>
      <c r="K17" s="308"/>
      <c r="L17" s="307">
        <f>IF(NOT(ISERROR(MATCH(K17,_xlfn.ANCHORARRAY(G22),0))),J24&amp;"Por favor no seleccionar los criterios de impacto",K17)</f>
        <v>0</v>
      </c>
      <c r="M17" s="306"/>
      <c r="N17" s="307"/>
      <c r="O17" s="309"/>
      <c r="P17" s="168">
        <v>4</v>
      </c>
      <c r="Q17" s="127"/>
      <c r="R17" s="169" t="str">
        <f t="shared" ref="R17:R19" si="18">IF(OR(S17="Preventivo",S17="Detectivo"),"Probabilidad",IF(S17="Correctivo","Impacto",""))</f>
        <v/>
      </c>
      <c r="S17" s="170"/>
      <c r="T17" s="170"/>
      <c r="U17" s="171" t="str">
        <f t="shared" si="14"/>
        <v/>
      </c>
      <c r="V17" s="170"/>
      <c r="W17" s="170"/>
      <c r="X17" s="170"/>
      <c r="Y17" s="172" t="str">
        <f t="shared" ref="Y17:Y19" si="19">IFERROR(IF(AND(R16="Probabilidad",R17="Probabilidad"),(AA16-(+AA16*U17)),IF(AND(R16="Impacto",R17="Probabilidad"),(AA15-(+AA15*U17)),IF(R17="Impacto",AA16,""))),"")</f>
        <v/>
      </c>
      <c r="Z17" s="173" t="str">
        <f t="shared" ref="Z17" si="20">IFERROR(IF(Y17="","",IF(Y17&lt;=0.2,"Muy Baja",IF(Y17&lt;=0.4,"Baja",IF(Y17&lt;=0.6,"Media",IF(Y17&lt;=0.8,"Alta","Muy Alta"))))),"")</f>
        <v/>
      </c>
      <c r="AA17" s="171" t="str">
        <f t="shared" si="16"/>
        <v/>
      </c>
      <c r="AB17" s="173" t="str">
        <f t="shared" ref="AB17" si="21">IFERROR(IF(AC17="","",IF(AC17&lt;=0.2,"Leve",IF(AC17&lt;=0.4,"Menor",IF(AC17&lt;=0.6,"Moderado",IF(AC17&lt;=0.8,"Mayor","Catastrófico"))))),"")</f>
        <v/>
      </c>
      <c r="AC17" s="171" t="str">
        <f t="shared" ref="AC17:AC19" si="22">IFERROR(IF(AND(R16="Impacto",R17="Impacto"),(AC16-(+AC16*U17)),IF(AND(R16="Probabilidad",R17="Impacto"),(AC15-(+AC15*U17)),IF(R17="Probabilidad",AC16,""))),"")</f>
        <v/>
      </c>
      <c r="AD17" s="174" t="str">
        <f>IFERROR(IF(OR(AND(Z17="Muy Baja",AB17="Leve"),AND(Z17="Muy Baja",AB17="Menor"),AND(Z17="Baja",AB17="Leve")),"Bajo",IF(OR(AND(Z17="Muy baja",AB17="Moderado"),AND(Z17="Baja",AB17="Menor"),AND(Z17="Baja",AB17="Moderado"),AND(Z17="Media",AB17="Leve"),AND(Z17="Media",AB17="Menor"),AND(Z17="Media",AB17="Moderado"),AND(Z17="Alta",AB17="Leve"),AND(Z17="Alta",AB17="Menor")),"Moderado",IF(OR(AND(Z17="Muy Baja",AB17="Mayor"),AND(Z17="Baja",AB17="Mayor"),AND(Z17="Media",AB17="Mayor"),AND(Z17="Alta",AB17="Moderado"),AND(Z17="Alta",AB17="Mayor"),AND(Z17="Muy Alta",AB17="Leve"),AND(Z17="Muy Alta",AB17="Menor"),AND(Z17="Muy Alta",AB17="Moderado"),AND(Z17="Muy Alta",AB17="Mayor")),"Alto",IF(OR(AND(Z17="Muy Baja",AB17="Catastrófico"),AND(Z17="Baja",AB17="Catastrófico"),AND(Z17="Media",AB17="Catastrófico"),AND(Z17="Alta",AB17="Catastrófico"),AND(Z17="Muy Alta",AB17="Catastrófico")),"Extremo","")))),"")</f>
        <v/>
      </c>
      <c r="AE17" s="179"/>
      <c r="AF17" s="189"/>
      <c r="AG17" s="190"/>
      <c r="AH17" s="191"/>
      <c r="AI17" s="176"/>
      <c r="AJ17" s="177"/>
      <c r="AK17" s="522"/>
      <c r="AL17" s="535"/>
      <c r="AM17" s="535"/>
      <c r="AN17" s="535"/>
      <c r="AO17" s="535"/>
      <c r="AP17" s="535"/>
      <c r="AQ17" s="535"/>
      <c r="AR17" s="535"/>
      <c r="AS17" s="158"/>
      <c r="AT17" s="158"/>
      <c r="AU17" s="158"/>
      <c r="AV17" s="158"/>
      <c r="AW17" s="158"/>
      <c r="AX17" s="158"/>
      <c r="AY17" s="158"/>
      <c r="AZ17" s="158"/>
      <c r="BA17" s="158"/>
      <c r="BB17" s="158"/>
      <c r="BC17" s="158"/>
      <c r="BD17" s="158"/>
      <c r="BE17" s="158"/>
      <c r="BF17" s="158"/>
      <c r="BG17" s="158"/>
      <c r="BH17" s="158"/>
      <c r="BI17" s="158"/>
      <c r="BJ17" s="158"/>
    </row>
    <row r="18" spans="2:62" x14ac:dyDescent="0.2">
      <c r="B18" s="314"/>
      <c r="C18" s="324"/>
      <c r="D18" s="317"/>
      <c r="E18" s="313"/>
      <c r="F18" s="304"/>
      <c r="G18" s="313"/>
      <c r="H18" s="305"/>
      <c r="I18" s="306"/>
      <c r="J18" s="307"/>
      <c r="K18" s="308"/>
      <c r="L18" s="307">
        <f>IF(NOT(ISERROR(MATCH(K18,_xlfn.ANCHORARRAY(G23),0))),J25&amp;"Por favor no seleccionar los criterios de impacto",K18)</f>
        <v>0</v>
      </c>
      <c r="M18" s="306"/>
      <c r="N18" s="307"/>
      <c r="O18" s="309"/>
      <c r="P18" s="168">
        <v>5</v>
      </c>
      <c r="Q18" s="127"/>
      <c r="R18" s="169" t="str">
        <f t="shared" si="18"/>
        <v/>
      </c>
      <c r="S18" s="170"/>
      <c r="T18" s="170"/>
      <c r="U18" s="171" t="str">
        <f t="shared" si="14"/>
        <v/>
      </c>
      <c r="V18" s="170"/>
      <c r="W18" s="170"/>
      <c r="X18" s="170"/>
      <c r="Y18" s="172" t="str">
        <f t="shared" si="19"/>
        <v/>
      </c>
      <c r="Z18" s="173" t="str">
        <f t="shared" ref="Z18:Z19" si="23">IFERROR(IF(Y18="","",IF(Y18&lt;=0.2,"Rara vez",IF(Y18&lt;=0.4,"Improbable",IF(Y18&lt;=0.6,"Posible",IF(Y18&lt;=0.8,"Probable","Casi Seguro"))))),"")</f>
        <v/>
      </c>
      <c r="AA18" s="171" t="str">
        <f t="shared" si="16"/>
        <v/>
      </c>
      <c r="AB18" s="173" t="str">
        <f t="shared" ref="AB18:AB19" si="24">IFERROR(IF(AC18="","",IF(AC18&lt;=0.6,"Moderado",IF(AC18&lt;=0.8,"Mayor","Catastrófico"))),"")</f>
        <v/>
      </c>
      <c r="AC18" s="171" t="str">
        <f t="shared" si="22"/>
        <v/>
      </c>
      <c r="AD18" s="174" t="str">
        <f t="shared" ref="AD18:AD19" si="25">IFERROR(IF(OR(AND(Z18="Muy Baja",AB18="Leve"),AND(Z18="Muy Baja",AB18="Menor"),AND(Z18="Baja",AB18="Leve")),"Bajo",IF(OR(AND(Z18="Muy baja",AB18="Moderado"),AND(Z18="Baja",AB18="Menor"),AND(Z18="Baja",AB18="Moderado"),AND(Z18="Media",AB18="Leve"),AND(Z18="Media",AB18="Menor"),AND(Z18="Media",AB18="Moderado"),AND(Z18="Alta",AB18="Leve"),AND(Z18="Alta",AB18="Menor")),"Moderado",IF(OR(AND(Z18="Muy Baja",AB18="Mayor"),AND(Z18="Baja",AB18="Mayor"),AND(Z18="Media",AB18="Mayor"),AND(Z18="Alta",AB18="Moderado"),AND(Z18="Alta",AB18="Mayor"),AND(Z18="Muy Alta",AB18="Leve"),AND(Z18="Muy Alta",AB18="Menor"),AND(Z18="Muy Alta",AB18="Moderado"),AND(Z18="Muy Alta",AB18="Mayor")),"Alto",IF(OR(AND(Z18="Muy Baja",AB18="Catastrófico"),AND(Z18="Baja",AB18="Catastrófico"),AND(Z18="Media",AB18="Catastrófico"),AND(Z18="Alta",AB18="Catastrófico"),AND(Z18="Muy Alta",AB18="Catastrófico")),"Extremo","")))),"")</f>
        <v/>
      </c>
      <c r="AE18" s="179"/>
      <c r="AF18" s="192"/>
      <c r="AG18" s="193"/>
      <c r="AH18" s="176"/>
      <c r="AI18" s="176"/>
      <c r="AJ18" s="177"/>
      <c r="AK18" s="522"/>
      <c r="AL18" s="535"/>
      <c r="AM18" s="535"/>
      <c r="AN18" s="535"/>
      <c r="AO18" s="535"/>
      <c r="AP18" s="535"/>
      <c r="AQ18" s="535"/>
      <c r="AR18" s="535"/>
      <c r="AS18" s="158"/>
      <c r="AT18" s="158"/>
      <c r="AU18" s="158"/>
      <c r="AV18" s="158"/>
      <c r="AW18" s="158"/>
      <c r="AX18" s="158"/>
      <c r="AY18" s="158"/>
      <c r="AZ18" s="158"/>
      <c r="BA18" s="158"/>
      <c r="BB18" s="158"/>
      <c r="BC18" s="158"/>
      <c r="BD18" s="158"/>
      <c r="BE18" s="158"/>
      <c r="BF18" s="158"/>
      <c r="BG18" s="158"/>
      <c r="BH18" s="158"/>
      <c r="BI18" s="158"/>
      <c r="BJ18" s="158"/>
    </row>
    <row r="19" spans="2:62" ht="20.25" customHeight="1" x14ac:dyDescent="0.2">
      <c r="B19" s="314"/>
      <c r="C19" s="324"/>
      <c r="D19" s="317"/>
      <c r="E19" s="313"/>
      <c r="F19" s="304"/>
      <c r="G19" s="313"/>
      <c r="H19" s="305"/>
      <c r="I19" s="306"/>
      <c r="J19" s="307"/>
      <c r="K19" s="308"/>
      <c r="L19" s="307">
        <f>IF(NOT(ISERROR(MATCH(K19,_xlfn.ANCHORARRAY(G24),0))),J32&amp;"Por favor no seleccionar los criterios de impacto",K19)</f>
        <v>0</v>
      </c>
      <c r="M19" s="306"/>
      <c r="N19" s="307"/>
      <c r="O19" s="309"/>
      <c r="P19" s="168">
        <v>6</v>
      </c>
      <c r="Q19" s="127"/>
      <c r="R19" s="169" t="str">
        <f t="shared" si="18"/>
        <v/>
      </c>
      <c r="S19" s="170"/>
      <c r="T19" s="170"/>
      <c r="U19" s="171" t="str">
        <f t="shared" si="14"/>
        <v/>
      </c>
      <c r="V19" s="170"/>
      <c r="W19" s="170"/>
      <c r="X19" s="170"/>
      <c r="Y19" s="172" t="str">
        <f t="shared" si="19"/>
        <v/>
      </c>
      <c r="Z19" s="173" t="str">
        <f t="shared" si="23"/>
        <v/>
      </c>
      <c r="AA19" s="171" t="str">
        <f t="shared" si="16"/>
        <v/>
      </c>
      <c r="AB19" s="173" t="str">
        <f t="shared" si="24"/>
        <v/>
      </c>
      <c r="AC19" s="171" t="str">
        <f t="shared" si="22"/>
        <v/>
      </c>
      <c r="AD19" s="174" t="str">
        <f t="shared" si="25"/>
        <v/>
      </c>
      <c r="AE19" s="179"/>
      <c r="AF19" s="192"/>
      <c r="AG19" s="193"/>
      <c r="AH19" s="176"/>
      <c r="AI19" s="176"/>
      <c r="AJ19" s="177"/>
      <c r="AK19" s="522"/>
      <c r="AL19" s="535"/>
      <c r="AM19" s="535"/>
      <c r="AN19" s="535"/>
      <c r="AO19" s="535"/>
      <c r="AP19" s="535"/>
      <c r="AQ19" s="535"/>
      <c r="AR19" s="535"/>
      <c r="AS19" s="158"/>
      <c r="AT19" s="158"/>
      <c r="AU19" s="158"/>
      <c r="AV19" s="158"/>
      <c r="AW19" s="158"/>
      <c r="AX19" s="158"/>
      <c r="AY19" s="158"/>
      <c r="AZ19" s="158"/>
      <c r="BA19" s="158"/>
      <c r="BB19" s="158"/>
      <c r="BC19" s="158"/>
      <c r="BD19" s="158"/>
      <c r="BE19" s="158"/>
      <c r="BF19" s="158"/>
      <c r="BG19" s="158"/>
      <c r="BH19" s="158"/>
      <c r="BI19" s="158"/>
      <c r="BJ19" s="158"/>
    </row>
    <row r="20" spans="2:62" s="163" customFormat="1" ht="135" customHeight="1" x14ac:dyDescent="0.25">
      <c r="B20" s="314" t="s">
        <v>138</v>
      </c>
      <c r="C20" s="324" t="s">
        <v>125</v>
      </c>
      <c r="D20" s="317" t="s">
        <v>139</v>
      </c>
      <c r="E20" s="313" t="s">
        <v>127</v>
      </c>
      <c r="F20" s="313" t="s">
        <v>140</v>
      </c>
      <c r="G20" s="304" t="s">
        <v>141</v>
      </c>
      <c r="H20" s="305" t="s">
        <v>109</v>
      </c>
      <c r="I20" s="306" t="str">
        <f>IF(H20&lt;=0,"",IF(H20="No se ha presentado en los últimos 5 años","Rara vez",IF(H20="Al menos 1 vez en los últimos 5 años","Improbable",IF(H20="Al menos 1 vez en los últimos 2 años","Posible",IF(H20="Al menos 1 vez en el último año","Probable",IF(H20="Más de 1 vez al año","Casi Seguro"))))))</f>
        <v>Rara vez</v>
      </c>
      <c r="J20" s="307">
        <f>IF(I20="","",IF(I20="Rara vez",0.2,IF(I20="Improbable",0.4,IF(I20="Posible",0.6,IF(I20="Probable",0.8,IF(I20="Casi Seguro",1,))))))</f>
        <v>0.2</v>
      </c>
      <c r="K20" s="308" t="s">
        <v>110</v>
      </c>
      <c r="L20" s="307" t="str">
        <f>IF(NOT(ISERROR(MATCH(K20,'Tabla Impacto'!$B$220:$B$222,0))),'Tabla Impacto'!$F$222&amp;"Por favor no seleccionar los criterios de impacto(Criterios para calificar el impacto)",K20)</f>
        <v>Responder afirmativamente de SEIS a ONCE</v>
      </c>
      <c r="M20" s="306" t="str">
        <f>IF(OR(L20='Tabla Impacto'!$C$5),"Moderado",IF(OR(L20='Tabla Impacto'!$C$6),"Mayor",IF(OR(L20='Tabla Impacto'!$C$7),"Catastrófico","")))</f>
        <v>Mayor</v>
      </c>
      <c r="N20" s="307">
        <f>IF(M20="","",IF(M20="Leve",0.2,IF(M20="Menor",0.4,IF(M20="Moderado",0.6,IF(M20="Mayor",0.8,IF(M20="Catastrófico",1,))))))</f>
        <v>0.8</v>
      </c>
      <c r="O20" s="309" t="str">
        <f>IF(OR(AND(I20="Rara vez",M20="Leve"),AND(I20="Rara vez",M20="Menor"),AND(I20="Improbable",M20="Leve")),"Bajo",IF(OR(AND(I20="Rara vez",M20="Moderado"),AND(I20="Improbable",M20="Menor"),AND(I20="Improbable",M20="Moderado"),AND(I20="Posible",M20="Leve"),AND(I20="Posible",M20="Menor"),AND(I20="Posible",M20="Moderado"),AND(I20="Probable",M20="Leve"),AND(I20="Probable",M20="Menor")),"Moderado",IF(OR(AND(I20="Rara vez",M20="Mayor"),AND(I20="Improbable",M20="Mayor"),AND(I20="Posible",M20="Mayor"),AND(I20="Probable",M20="Moderado"),AND(I20="Probable",M20="Mayor"),AND(I20="Casi Seguro",M20="Leve"),AND(I20="Casi Seguro",M20="Menor"),AND(I20="Casi Seguro",M20="Moderado"),AND(I20="Casi Seguro",M20="Mayor")),"Alto",IF(OR(AND(I20="Rara vez",M20="Catastrófico"),AND(I20="Improbable",M20="Catastrófico"),AND(I20="Posible",M20="Catastrófico"),AND(I20="Probable",M20="Catastrófico"),AND(I20="Casi Seguro",M20="Catastrófico")),"Extremo",""))))</f>
        <v>Alto</v>
      </c>
      <c r="P20" s="168">
        <v>1</v>
      </c>
      <c r="Q20" s="129" t="s">
        <v>142</v>
      </c>
      <c r="R20" s="169" t="str">
        <f>IF(OR(S20="Preventivo",S20="Detectivo"),"Probabilidad",IF(S20="Correctivo","Impacto",""))</f>
        <v>Probabilidad</v>
      </c>
      <c r="S20" s="170" t="s">
        <v>112</v>
      </c>
      <c r="T20" s="170" t="s">
        <v>113</v>
      </c>
      <c r="U20" s="171" t="str">
        <f>IF(AND(S20="Preventivo",T20="Automático"),"50%",IF(AND(S20="Preventivo",T20="Manual"),"40%",IF(AND(S20="Detectivo",T20="Automático"),"40%",IF(AND(S20="Detectivo",T20="Manual"),"30%",IF(AND(S20="Correctivo",T20="Automático"),"35%",IF(AND(S20="Correctivo",T20="Manual"),"25%",""))))))</f>
        <v>40%</v>
      </c>
      <c r="V20" s="170" t="s">
        <v>119</v>
      </c>
      <c r="W20" s="170" t="s">
        <v>115</v>
      </c>
      <c r="X20" s="170" t="s">
        <v>134</v>
      </c>
      <c r="Y20" s="172">
        <f>IFERROR(IF(R20="Probabilidad",(J20-(+J20*U20)),IF(R20="Impacto",J20,"")),"")</f>
        <v>0.12</v>
      </c>
      <c r="Z20" s="173" t="str">
        <f>IFERROR(IF(Y20="","",IF(Y20&lt;=0.2,"Rara vez",IF(Y20&lt;=0.4,"Improbable",IF(Y20&lt;=0.6,"Posible",IF(Y20&lt;=0.8,"Probable","Casi Seguro"))))),"")</f>
        <v>Rara vez</v>
      </c>
      <c r="AA20" s="171">
        <f>+Y20</f>
        <v>0.12</v>
      </c>
      <c r="AB20" s="173" t="str">
        <f>IFERROR(IF(AC20="","",IF(AC20&lt;=0.6,"Moderado",IF(AC20&lt;=0.8,"Mayor","Catastrófico"))),"")</f>
        <v>Mayor</v>
      </c>
      <c r="AC20" s="171">
        <f>IFERROR(IF(R20="Impacto",(N20-(+N20*U20)),IF(R20="Probabilidad",N20,"")),"")</f>
        <v>0.8</v>
      </c>
      <c r="AD20" s="174" t="str">
        <f>IFERROR(IF(OR(AND(Z20="Rara vez",AB20="Leve"),AND(Z20="Rara vez",AB20="Menor"),AND(Z20="Improbable",AB20="Leve")),"Bajo",IF(OR(AND(Z20="Rara vez",AB20="Moderado"),AND(Z20="Improbable",AB20="Menor"),AND(Z20="Improbable",AB20="Moderado"),AND(Z20="Posible",AB20="Leve"),AND(Z20="Posible",AB20="Menor"),AND(Z20="Posible",AB20="Moderado"),AND(Z20="Probable",AB20="Leve"),AND(Z20="Probable",AB20="Menor")),"Moderado",IF(OR(AND(Z20="Rara vez",AB20="Mayor"),AND(Z20="Improbable",AB20="Mayor"),AND(Z20="Posible",AB20="Mayor"),AND(Z20="Probable",AB20="Moderado"),AND(Z20="Probable",AB20="Mayor"),AND(Z20="Casi Seguro",AB20="Leve"),AND(Z20="Casi Seguro",AB20="Menor"),AND(Z20="Casi Seguro",AB20="Moderado"),AND(Z20="Casi Seguro",AB20="Mayor")),"Alto",IF(OR(AND(Z20="Rara vez",AB20="Catastrófico"),AND(Z20="Improbable",AB20="Catastrófico"),AND(Z20="Posible",AB20="Catastrófico"),AND(Z20="Probable",AB20="Catastrófico"),AND(Z20="Casi Seguro",AB20="Catastrófico")),"Extremo","")))),"")</f>
        <v>Alto</v>
      </c>
      <c r="AE20" s="170"/>
      <c r="AF20" s="123"/>
      <c r="AG20" s="123"/>
      <c r="AH20" s="175"/>
      <c r="AI20" s="176"/>
      <c r="AJ20" s="177"/>
      <c r="AK20" s="522"/>
      <c r="AL20" s="534"/>
      <c r="AM20" s="534"/>
      <c r="AN20" s="534"/>
      <c r="AO20" s="534"/>
      <c r="AP20" s="534"/>
      <c r="AQ20" s="534"/>
      <c r="AR20" s="534"/>
      <c r="AS20" s="178"/>
      <c r="AT20" s="178"/>
      <c r="AU20" s="178"/>
      <c r="AV20" s="178"/>
      <c r="AW20" s="178"/>
      <c r="AX20" s="178"/>
      <c r="AY20" s="178"/>
      <c r="AZ20" s="178"/>
      <c r="BA20" s="178"/>
      <c r="BB20" s="178"/>
      <c r="BC20" s="178"/>
      <c r="BD20" s="178"/>
      <c r="BE20" s="178"/>
      <c r="BF20" s="178"/>
      <c r="BG20" s="178"/>
      <c r="BH20" s="178"/>
      <c r="BI20" s="178"/>
      <c r="BJ20" s="178"/>
    </row>
    <row r="21" spans="2:62" ht="109.5" customHeight="1" x14ac:dyDescent="0.2">
      <c r="B21" s="314"/>
      <c r="C21" s="324"/>
      <c r="D21" s="317"/>
      <c r="E21" s="313"/>
      <c r="F21" s="313"/>
      <c r="G21" s="304"/>
      <c r="H21" s="305"/>
      <c r="I21" s="306"/>
      <c r="J21" s="307"/>
      <c r="K21" s="308"/>
      <c r="L21" s="307">
        <f>IF(NOT(ISERROR(MATCH(K21,_xlfn.ANCHORARRAY(G36),0))),J38&amp;"Por favor no seleccionar los criterios de impacto",K21)</f>
        <v>0</v>
      </c>
      <c r="M21" s="306"/>
      <c r="N21" s="307"/>
      <c r="O21" s="309"/>
      <c r="P21" s="168">
        <v>2</v>
      </c>
      <c r="Q21" s="126" t="s">
        <v>143</v>
      </c>
      <c r="R21" s="169" t="str">
        <f>IF(OR(S21="Preventivo",S21="Detectivo"),"Probabilidad",IF(S21="Correctivo","Impacto",""))</f>
        <v>Probabilidad</v>
      </c>
      <c r="S21" s="170" t="s">
        <v>133</v>
      </c>
      <c r="T21" s="170" t="s">
        <v>113</v>
      </c>
      <c r="U21" s="171" t="str">
        <f t="shared" ref="U21:U25" si="26">IF(AND(S21="Preventivo",T21="Automático"),"50%",IF(AND(S21="Preventivo",T21="Manual"),"40%",IF(AND(S21="Detectivo",T21="Automático"),"40%",IF(AND(S21="Detectivo",T21="Manual"),"30%",IF(AND(S21="Correctivo",T21="Automático"),"35%",IF(AND(S21="Correctivo",T21="Manual"),"25%",""))))))</f>
        <v>30%</v>
      </c>
      <c r="V21" s="170" t="s">
        <v>119</v>
      </c>
      <c r="W21" s="170" t="s">
        <v>115</v>
      </c>
      <c r="X21" s="170" t="s">
        <v>134</v>
      </c>
      <c r="Y21" s="172">
        <f>IFERROR(IF(AND(R20="Probabilidad",R21="Probabilidad"),(AA20-(+AA20*U21)),IF(R21="Probabilidad",(J20-(+J20*U21)),IF(R21="Impacto",AA20,""))),"")</f>
        <v>8.3999999999999991E-2</v>
      </c>
      <c r="Z21" s="173" t="str">
        <f t="shared" ref="Z21:Z25" si="27">IFERROR(IF(Y21="","",IF(Y21&lt;=0.2,"Rara vez",IF(Y21&lt;=0.4,"Improbable",IF(Y21&lt;=0.6,"Posible",IF(Y21&lt;=0.8,"Probable","Casi Seguro"))))),"")</f>
        <v>Rara vez</v>
      </c>
      <c r="AA21" s="171">
        <f t="shared" ref="AA21:AA25" si="28">+Y21</f>
        <v>8.3999999999999991E-2</v>
      </c>
      <c r="AB21" s="173" t="str">
        <f t="shared" ref="AB21:AB25" si="29">IFERROR(IF(AC21="","",IF(AC21&lt;=0.6,"Moderado",IF(AC21&lt;=0.8,"Mayor","Catastrófico"))),"")</f>
        <v>Mayor</v>
      </c>
      <c r="AC21" s="171">
        <f>IFERROR(IF(AND(R20="Impacto",R21="Impacto"),(AC20-(+AC20*U21)),IF(R21="Impacto",(N20-(+N20*U21)),IF(R21="Probabilidad",AC20,""))),"")</f>
        <v>0.8</v>
      </c>
      <c r="AD21" s="174" t="str">
        <f>IFERROR(IF(OR(AND(Z21="Rara vez",AB21="Leve"),AND(Z21="Rara vez",AB21="Menor"),AND(Z21="Improbable",AB21="Leve")),"Bajo",IF(OR(AND(Z21="Rara vez",AB21="Moderado"),AND(Z21="Improbable",AB21="Menor"),AND(Z21="Improbable",AB21="Moderado"),AND(Z21="Posible",AB21="Leve"),AND(Z21="Posible",AB21="Menor"),AND(Z21="Posible",AB21="Moderado"),AND(Z21="Probable",AB21="Leve"),AND(Z21="Probable",AB21="Menor")),"Moderado",IF(OR(AND(Z21="Rara vez",AB21="Mayor"),AND(Z21="Improbable",AB21="Mayor"),AND(Z21="Posible",AB21="Mayor"),AND(Z21="Probable",AB21="Moderado"),AND(Z21="Probable",AB21="Mayor"),AND(Z21="Casi Seguro",AB21="Leve"),AND(Z21="Casi Seguro",AB21="Menor"),AND(Z21="Casi Seguro",AB21="Moderado"),AND(Z21="Casi Seguro",AB21="Mayor")),"Alto",IF(OR(AND(Z21="Rara vez",AB21="Catastrófico"),AND(Z21="Improbable",AB21="Catastrófico"),AND(Z21="Posible",AB21="Catastrófico"),AND(Z21="Probable",AB21="Catastrófico"),AND(Z21="Casi Seguro",AB21="Catastrófico")),"Extremo","")))),"")</f>
        <v>Alto</v>
      </c>
      <c r="AE21" s="179"/>
      <c r="AF21" s="194"/>
      <c r="AG21" s="194"/>
      <c r="AH21" s="195"/>
      <c r="AI21" s="176"/>
      <c r="AJ21" s="181"/>
      <c r="AK21" s="522"/>
      <c r="AL21" s="535"/>
      <c r="AM21" s="535"/>
      <c r="AN21" s="535"/>
      <c r="AO21" s="535"/>
      <c r="AP21" s="535"/>
      <c r="AQ21" s="535"/>
      <c r="AR21" s="535"/>
      <c r="AS21" s="158"/>
      <c r="AT21" s="158"/>
      <c r="AU21" s="158"/>
      <c r="AV21" s="158"/>
      <c r="AW21" s="158"/>
      <c r="AX21" s="158"/>
      <c r="AY21" s="158"/>
      <c r="AZ21" s="158"/>
      <c r="BA21" s="158"/>
      <c r="BB21" s="158"/>
      <c r="BC21" s="158"/>
      <c r="BD21" s="158"/>
      <c r="BE21" s="158"/>
      <c r="BF21" s="158"/>
      <c r="BG21" s="158"/>
      <c r="BH21" s="158"/>
      <c r="BI21" s="158"/>
      <c r="BJ21" s="158"/>
    </row>
    <row r="22" spans="2:62" ht="110.25" customHeight="1" x14ac:dyDescent="0.2">
      <c r="B22" s="314"/>
      <c r="C22" s="324"/>
      <c r="D22" s="317"/>
      <c r="E22" s="313"/>
      <c r="F22" s="313"/>
      <c r="G22" s="304"/>
      <c r="H22" s="305"/>
      <c r="I22" s="306"/>
      <c r="J22" s="307"/>
      <c r="K22" s="308"/>
      <c r="L22" s="307">
        <f>IF(NOT(ISERROR(MATCH(K22,_xlfn.ANCHORARRAY(G37),0))),J39&amp;"Por favor no seleccionar los criterios de impacto",K22)</f>
        <v>0</v>
      </c>
      <c r="M22" s="306"/>
      <c r="N22" s="307"/>
      <c r="O22" s="309"/>
      <c r="P22" s="168">
        <v>3</v>
      </c>
      <c r="Q22" s="126" t="s">
        <v>144</v>
      </c>
      <c r="R22" s="169" t="str">
        <f t="shared" ref="R22" si="30">IF(OR(S22="Preventivo",S22="Detectivo"),"Probabilidad",IF(S22="Correctivo","Impacto",""))</f>
        <v>Impacto</v>
      </c>
      <c r="S22" s="182" t="s">
        <v>137</v>
      </c>
      <c r="T22" s="170" t="s">
        <v>113</v>
      </c>
      <c r="U22" s="171" t="str">
        <f t="shared" si="26"/>
        <v>25%</v>
      </c>
      <c r="V22" s="170" t="s">
        <v>119</v>
      </c>
      <c r="W22" s="170" t="s">
        <v>115</v>
      </c>
      <c r="X22" s="170" t="s">
        <v>134</v>
      </c>
      <c r="Y22" s="172">
        <f>IFERROR(IF(AND(R21="Probabilidad",R22="Probabilidad"),(AA21-(+AA21*U22)),IF(AND(R21="Impacto",R22="Probabilidad"),(AA20-(+AA20*U22)),IF(R22="Impacto",AA21,""))),"")</f>
        <v>8.3999999999999991E-2</v>
      </c>
      <c r="Z22" s="173" t="str">
        <f t="shared" si="27"/>
        <v>Rara vez</v>
      </c>
      <c r="AA22" s="171">
        <f t="shared" si="28"/>
        <v>8.3999999999999991E-2</v>
      </c>
      <c r="AB22" s="173" t="str">
        <f t="shared" si="29"/>
        <v>Moderado</v>
      </c>
      <c r="AC22" s="171">
        <f>IFERROR(IF(AND(R21="Impacto",R22="Impacto"),(AC21-(+AC21*U22)),IF(AND(R21="Probabilidad",R22="Impacto"),(AC20-(+AC20*U22)),IF(R22="Probabilidad",AC21,""))),"")</f>
        <v>0.60000000000000009</v>
      </c>
      <c r="AD22" s="174" t="str">
        <f>IFERROR(IF(OR(AND(Z22="Rara vez",AB22="Leve"),AND(Z22="Rara vez",AB22="Menor"),AND(Z22="Improbable",AB22="Leve")),"Bajo",IF(OR(AND(Z22="Rara vez",AB22="Moderado"),AND(Z22="Improbable",AB22="Menor"),AND(Z22="Improbable",AB22="Moderado"),AND(Z22="Posible",AB22="Leve"),AND(Z22="Posible",AB22="Menor"),AND(Z22="Posible",AB22="Moderado"),AND(Z22="Probable",AB22="Leve"),AND(Z22="Probable",AB22="Menor")),"Moderado",IF(OR(AND(Z22="Rara vez",AB22="Mayor"),AND(Z22="Improbable",AB22="Mayor"),AND(Z22="Posible",AB22="Mayor"),AND(Z22="Probable",AB22="Moderado"),AND(Z22="Probable",AB22="Mayor"),AND(Z22="Casi Seguro",AB22="Leve"),AND(Z22="Casi Seguro",AB22="Menor"),AND(Z22="Casi Seguro",AB22="Moderado"),AND(Z22="Casi Seguro",AB22="Mayor")),"Alto",IF(OR(AND(Z22="Rara vez",AB22="Catastrófico"),AND(Z22="Improbable",AB22="Catastrófico"),AND(Z22="Posible",AB22="Catastrófico"),AND(Z22="Probable",AB22="Catastrófico"),AND(Z22="Casi Seguro",AB22="Catastrófico")),"Extremo","")))),"")</f>
        <v>Moderado</v>
      </c>
      <c r="AE22" s="183" t="s">
        <v>120</v>
      </c>
      <c r="AF22" s="184" t="s">
        <v>145</v>
      </c>
      <c r="AG22" s="185" t="s">
        <v>146</v>
      </c>
      <c r="AH22" s="186">
        <v>46022</v>
      </c>
      <c r="AI22" s="187"/>
      <c r="AJ22" s="188"/>
      <c r="AK22" s="523" t="s">
        <v>123</v>
      </c>
      <c r="AL22" s="535"/>
      <c r="AM22" s="535"/>
      <c r="AN22" s="535"/>
      <c r="AO22" s="535"/>
      <c r="AP22" s="535"/>
      <c r="AQ22" s="535"/>
      <c r="AR22" s="535"/>
      <c r="AS22" s="158"/>
      <c r="AT22" s="158"/>
      <c r="AU22" s="158"/>
      <c r="AV22" s="158"/>
      <c r="AW22" s="158"/>
      <c r="AX22" s="158"/>
      <c r="AY22" s="158"/>
      <c r="AZ22" s="158"/>
      <c r="BA22" s="158"/>
      <c r="BB22" s="158"/>
      <c r="BC22" s="158"/>
      <c r="BD22" s="158"/>
      <c r="BE22" s="158"/>
      <c r="BF22" s="158"/>
      <c r="BG22" s="158"/>
      <c r="BH22" s="158"/>
      <c r="BI22" s="158"/>
      <c r="BJ22" s="158"/>
    </row>
    <row r="23" spans="2:62" x14ac:dyDescent="0.2">
      <c r="B23" s="314"/>
      <c r="C23" s="324"/>
      <c r="D23" s="317"/>
      <c r="E23" s="313"/>
      <c r="F23" s="313"/>
      <c r="G23" s="304"/>
      <c r="H23" s="305"/>
      <c r="I23" s="306"/>
      <c r="J23" s="307"/>
      <c r="K23" s="308"/>
      <c r="L23" s="307">
        <f>IF(NOT(ISERROR(MATCH(K23,_xlfn.ANCHORARRAY(G38),0))),J40&amp;"Por favor no seleccionar los criterios de impacto",K23)</f>
        <v>0</v>
      </c>
      <c r="M23" s="306"/>
      <c r="N23" s="307"/>
      <c r="O23" s="309"/>
      <c r="P23" s="168">
        <v>4</v>
      </c>
      <c r="Q23" s="127"/>
      <c r="R23" s="169" t="str">
        <f t="shared" ref="R23" si="31">IF(OR(S23="Preventivo",S23="Detectivo"),"Probabilidad",IF(S23="Correctivo","Impacto",""))</f>
        <v/>
      </c>
      <c r="S23" s="170"/>
      <c r="T23" s="170"/>
      <c r="U23" s="171" t="str">
        <f t="shared" si="26"/>
        <v/>
      </c>
      <c r="V23" s="170"/>
      <c r="W23" s="170"/>
      <c r="X23" s="170"/>
      <c r="Y23" s="172" t="str">
        <f t="shared" ref="Y23" si="32">IFERROR(IF(AND(R22="Probabilidad",R23="Probabilidad"),(AA22-(+AA22*U23)),IF(AND(R22="Impacto",R23="Probabilidad"),(AA21-(+AA21*U23)),IF(R23="Impacto",AA22,""))),"")</f>
        <v/>
      </c>
      <c r="Z23" s="173" t="str">
        <f t="shared" ref="Z23" si="33">IFERROR(IF(Y23="","",IF(Y23&lt;=0.2,"Muy Baja",IF(Y23&lt;=0.4,"Baja",IF(Y23&lt;=0.6,"Media",IF(Y23&lt;=0.8,"Alta","Muy Alta"))))),"")</f>
        <v/>
      </c>
      <c r="AA23" s="171" t="str">
        <f t="shared" si="28"/>
        <v/>
      </c>
      <c r="AB23" s="173" t="str">
        <f t="shared" ref="AB23" si="34">IFERROR(IF(AC23="","",IF(AC23&lt;=0.2,"Leve",IF(AC23&lt;=0.4,"Menor",IF(AC23&lt;=0.6,"Moderado",IF(AC23&lt;=0.8,"Mayor","Catastrófico"))))),"")</f>
        <v/>
      </c>
      <c r="AC23" s="171" t="str">
        <f t="shared" ref="AC23" si="35">IFERROR(IF(AND(R22="Impacto",R23="Impacto"),(AC22-(+AC22*U23)),IF(AND(R22="Probabilidad",R23="Impacto"),(AC21-(+AC21*U23)),IF(R23="Probabilidad",AC22,""))),"")</f>
        <v/>
      </c>
      <c r="AD23" s="174" t="str">
        <f>IFERROR(IF(OR(AND(Z23="Muy Baja",AB23="Leve"),AND(Z23="Muy Baja",AB23="Menor"),AND(Z23="Baja",AB23="Leve")),"Bajo",IF(OR(AND(Z23="Muy baja",AB23="Moderado"),AND(Z23="Baja",AB23="Menor"),AND(Z23="Baja",AB23="Moderado"),AND(Z23="Media",AB23="Leve"),AND(Z23="Media",AB23="Menor"),AND(Z23="Media",AB23="Moderado"),AND(Z23="Alta",AB23="Leve"),AND(Z23="Alta",AB23="Menor")),"Moderado",IF(OR(AND(Z23="Muy Baja",AB23="Mayor"),AND(Z23="Baja",AB23="Mayor"),AND(Z23="Media",AB23="Mayor"),AND(Z23="Alta",AB23="Moderado"),AND(Z23="Alta",AB23="Mayor"),AND(Z23="Muy Alta",AB23="Leve"),AND(Z23="Muy Alta",AB23="Menor"),AND(Z23="Muy Alta",AB23="Moderado"),AND(Z23="Muy Alta",AB23="Mayor")),"Alto",IF(OR(AND(Z23="Muy Baja",AB23="Catastrófico"),AND(Z23="Baja",AB23="Catastrófico"),AND(Z23="Media",AB23="Catastrófico"),AND(Z23="Alta",AB23="Catastrófico"),AND(Z23="Muy Alta",AB23="Catastrófico")),"Extremo","")))),"")</f>
        <v/>
      </c>
      <c r="AE23" s="179"/>
      <c r="AF23" s="189"/>
      <c r="AG23" s="190"/>
      <c r="AH23" s="191"/>
      <c r="AI23" s="176"/>
      <c r="AJ23" s="177"/>
      <c r="AK23" s="522"/>
      <c r="AL23" s="535"/>
      <c r="AM23" s="535"/>
      <c r="AN23" s="535"/>
      <c r="AO23" s="535"/>
      <c r="AP23" s="535"/>
      <c r="AQ23" s="535"/>
      <c r="AR23" s="535"/>
      <c r="AS23" s="158"/>
      <c r="AT23" s="158"/>
      <c r="AU23" s="158"/>
      <c r="AV23" s="158"/>
      <c r="AW23" s="158"/>
      <c r="AX23" s="158"/>
      <c r="AY23" s="158"/>
      <c r="AZ23" s="158"/>
      <c r="BA23" s="158"/>
      <c r="BB23" s="158"/>
      <c r="BC23" s="158"/>
      <c r="BD23" s="158"/>
      <c r="BE23" s="158"/>
      <c r="BF23" s="158"/>
      <c r="BG23" s="158"/>
      <c r="BH23" s="158"/>
      <c r="BI23" s="158"/>
      <c r="BJ23" s="158"/>
    </row>
    <row r="24" spans="2:62" x14ac:dyDescent="0.2">
      <c r="B24" s="314"/>
      <c r="C24" s="324"/>
      <c r="D24" s="317"/>
      <c r="E24" s="313"/>
      <c r="F24" s="313"/>
      <c r="G24" s="304"/>
      <c r="H24" s="305"/>
      <c r="I24" s="306"/>
      <c r="J24" s="307"/>
      <c r="K24" s="308"/>
      <c r="L24" s="307">
        <f>IF(NOT(ISERROR(MATCH(K24,_xlfn.ANCHORARRAY(G39),0))),J41&amp;"Por favor no seleccionar los criterios de impacto",K24)</f>
        <v>0</v>
      </c>
      <c r="M24" s="306"/>
      <c r="N24" s="307"/>
      <c r="O24" s="309"/>
      <c r="P24" s="168">
        <v>5</v>
      </c>
      <c r="Q24" s="127"/>
      <c r="R24" s="169" t="str">
        <f t="shared" ref="R24:R25" si="36">IF(OR(S24="Preventivo",S24="Detectivo"),"Probabilidad",IF(S24="Correctivo","Impacto",""))</f>
        <v/>
      </c>
      <c r="S24" s="170"/>
      <c r="T24" s="170"/>
      <c r="U24" s="171" t="str">
        <f t="shared" si="26"/>
        <v/>
      </c>
      <c r="V24" s="170"/>
      <c r="W24" s="170"/>
      <c r="X24" s="170"/>
      <c r="Y24" s="172" t="str">
        <f t="shared" ref="Y24:Y25" si="37">IFERROR(IF(AND(R23="Probabilidad",R24="Probabilidad"),(AA23-(+AA23*U24)),IF(AND(R23="Impacto",R24="Probabilidad"),(AA22-(+AA22*U24)),IF(R24="Impacto",AA23,""))),"")</f>
        <v/>
      </c>
      <c r="Z24" s="173" t="str">
        <f t="shared" si="27"/>
        <v/>
      </c>
      <c r="AA24" s="171" t="str">
        <f t="shared" si="28"/>
        <v/>
      </c>
      <c r="AB24" s="173" t="str">
        <f t="shared" si="29"/>
        <v/>
      </c>
      <c r="AC24" s="171" t="str">
        <f t="shared" ref="AC24:AC25" si="38">IFERROR(IF(AND(R23="Impacto",R24="Impacto"),(AC23-(+AC23*U24)),IF(AND(R23="Probabilidad",R24="Impacto"),(AC22-(+AC22*U24)),IF(R24="Probabilidad",AC23,""))),"")</f>
        <v/>
      </c>
      <c r="AD24" s="174" t="str">
        <f t="shared" ref="AD24:AD25" si="39">IFERROR(IF(OR(AND(Z24="Muy Baja",AB24="Leve"),AND(Z24="Muy Baja",AB24="Menor"),AND(Z24="Baja",AB24="Leve")),"Bajo",IF(OR(AND(Z24="Muy baja",AB24="Moderado"),AND(Z24="Baja",AB24="Menor"),AND(Z24="Baja",AB24="Moderado"),AND(Z24="Media",AB24="Leve"),AND(Z24="Media",AB24="Menor"),AND(Z24="Media",AB24="Moderado"),AND(Z24="Alta",AB24="Leve"),AND(Z24="Alta",AB24="Menor")),"Moderado",IF(OR(AND(Z24="Muy Baja",AB24="Mayor"),AND(Z24="Baja",AB24="Mayor"),AND(Z24="Media",AB24="Mayor"),AND(Z24="Alta",AB24="Moderado"),AND(Z24="Alta",AB24="Mayor"),AND(Z24="Muy Alta",AB24="Leve"),AND(Z24="Muy Alta",AB24="Menor"),AND(Z24="Muy Alta",AB24="Moderado"),AND(Z24="Muy Alta",AB24="Mayor")),"Alto",IF(OR(AND(Z24="Muy Baja",AB24="Catastrófico"),AND(Z24="Baja",AB24="Catastrófico"),AND(Z24="Media",AB24="Catastrófico"),AND(Z24="Alta",AB24="Catastrófico"),AND(Z24="Muy Alta",AB24="Catastrófico")),"Extremo","")))),"")</f>
        <v/>
      </c>
      <c r="AE24" s="179"/>
      <c r="AF24" s="192"/>
      <c r="AG24" s="193"/>
      <c r="AH24" s="176"/>
      <c r="AI24" s="176"/>
      <c r="AJ24" s="177"/>
      <c r="AK24" s="522"/>
      <c r="AL24" s="535"/>
      <c r="AM24" s="535"/>
      <c r="AN24" s="535"/>
      <c r="AO24" s="535"/>
      <c r="AP24" s="535"/>
      <c r="AQ24" s="535"/>
      <c r="AR24" s="535"/>
      <c r="AS24" s="158"/>
      <c r="AT24" s="158"/>
      <c r="AU24" s="158"/>
      <c r="AV24" s="158"/>
      <c r="AW24" s="158"/>
      <c r="AX24" s="158"/>
      <c r="AY24" s="158"/>
      <c r="AZ24" s="158"/>
      <c r="BA24" s="158"/>
      <c r="BB24" s="158"/>
      <c r="BC24" s="158"/>
      <c r="BD24" s="158"/>
      <c r="BE24" s="158"/>
      <c r="BF24" s="158"/>
      <c r="BG24" s="158"/>
      <c r="BH24" s="158"/>
      <c r="BI24" s="158"/>
      <c r="BJ24" s="158"/>
    </row>
    <row r="25" spans="2:62" ht="20.25" customHeight="1" x14ac:dyDescent="0.2">
      <c r="B25" s="314"/>
      <c r="C25" s="324"/>
      <c r="D25" s="317"/>
      <c r="E25" s="313"/>
      <c r="F25" s="313"/>
      <c r="G25" s="304"/>
      <c r="H25" s="305"/>
      <c r="I25" s="306"/>
      <c r="J25" s="307"/>
      <c r="K25" s="308"/>
      <c r="L25" s="307">
        <f>IF(NOT(ISERROR(MATCH(K25,_xlfn.ANCHORARRAY(G40),0))),J42&amp;"Por favor no seleccionar los criterios de impacto",K25)</f>
        <v>0</v>
      </c>
      <c r="M25" s="306"/>
      <c r="N25" s="307"/>
      <c r="O25" s="309"/>
      <c r="P25" s="168">
        <v>6</v>
      </c>
      <c r="Q25" s="127"/>
      <c r="R25" s="169" t="str">
        <f t="shared" si="36"/>
        <v/>
      </c>
      <c r="S25" s="170"/>
      <c r="T25" s="170"/>
      <c r="U25" s="171" t="str">
        <f t="shared" si="26"/>
        <v/>
      </c>
      <c r="V25" s="170"/>
      <c r="W25" s="170"/>
      <c r="X25" s="170"/>
      <c r="Y25" s="172" t="str">
        <f t="shared" si="37"/>
        <v/>
      </c>
      <c r="Z25" s="173" t="str">
        <f t="shared" si="27"/>
        <v/>
      </c>
      <c r="AA25" s="171" t="str">
        <f t="shared" si="28"/>
        <v/>
      </c>
      <c r="AB25" s="173" t="str">
        <f t="shared" si="29"/>
        <v/>
      </c>
      <c r="AC25" s="171" t="str">
        <f t="shared" si="38"/>
        <v/>
      </c>
      <c r="AD25" s="174" t="str">
        <f t="shared" si="39"/>
        <v/>
      </c>
      <c r="AE25" s="179"/>
      <c r="AF25" s="192"/>
      <c r="AG25" s="193"/>
      <c r="AH25" s="176"/>
      <c r="AI25" s="176"/>
      <c r="AJ25" s="177"/>
      <c r="AK25" s="522"/>
      <c r="AL25" s="535"/>
      <c r="AM25" s="535"/>
      <c r="AN25" s="535"/>
      <c r="AO25" s="535"/>
      <c r="AP25" s="535"/>
      <c r="AQ25" s="535"/>
      <c r="AR25" s="535"/>
      <c r="AS25" s="158"/>
      <c r="AT25" s="158"/>
      <c r="AU25" s="158"/>
      <c r="AV25" s="158"/>
      <c r="AW25" s="158"/>
      <c r="AX25" s="158"/>
      <c r="AY25" s="158"/>
      <c r="AZ25" s="158"/>
      <c r="BA25" s="158"/>
      <c r="BB25" s="158"/>
      <c r="BC25" s="158"/>
      <c r="BD25" s="158"/>
      <c r="BE25" s="158"/>
      <c r="BF25" s="158"/>
      <c r="BG25" s="158"/>
      <c r="BH25" s="158"/>
      <c r="BI25" s="158"/>
      <c r="BJ25" s="158"/>
    </row>
    <row r="26" spans="2:62" s="163" customFormat="1" ht="112.5" customHeight="1" x14ac:dyDescent="0.25">
      <c r="B26" s="314" t="s">
        <v>147</v>
      </c>
      <c r="C26" s="324" t="s">
        <v>148</v>
      </c>
      <c r="D26" s="317" t="s">
        <v>149</v>
      </c>
      <c r="E26" s="313" t="s">
        <v>127</v>
      </c>
      <c r="F26" s="313" t="s">
        <v>150</v>
      </c>
      <c r="G26" s="304" t="s">
        <v>151</v>
      </c>
      <c r="H26" s="305" t="s">
        <v>109</v>
      </c>
      <c r="I26" s="306" t="str">
        <f>IF(H26&lt;=0,"",IF(H26="No se ha presentado en los últimos 5 años","Rara vez",IF(H26="Al menos 1 vez en los últimos 5 años","Improbable",IF(H26="Al menos 1 vez en los últimos 2 años","Posible",IF(H26="Al menos 1 vez en el último año","Probable",IF(H26="Más de 1 vez al año","Casi Seguro"))))))</f>
        <v>Rara vez</v>
      </c>
      <c r="J26" s="307">
        <f>IF(I26="","",IF(I26="Rara vez",0.2,IF(I26="Improbable",0.4,IF(I26="Posible",0.6,IF(I26="Probable",0.8,IF(I26="Casi Seguro",1,))))))</f>
        <v>0.2</v>
      </c>
      <c r="K26" s="308" t="s">
        <v>131</v>
      </c>
      <c r="L26" s="307" t="str">
        <f>IF(NOT(ISERROR(MATCH(K26,'Tabla Impacto'!$B$220:$B$222,0))),'Tabla Impacto'!$F$222&amp;"Por favor no seleccionar los criterios de impacto(Criterios para calificar el impacto)",K26)</f>
        <v xml:space="preserve">Responder afirmativamente de DOCE a DIECINUEVE </v>
      </c>
      <c r="M26" s="306" t="str">
        <f>IF(OR(L26='Tabla Impacto'!$C$5),"Moderado",IF(OR(L26='Tabla Impacto'!$C$6),"Mayor",IF(OR(L26='Tabla Impacto'!$C$7),"Catastrófico","")))</f>
        <v>Catastrófico</v>
      </c>
      <c r="N26" s="307">
        <f>IF(M26="","",IF(M26="Leve",0.2,IF(M26="Menor",0.4,IF(M26="Moderado",0.6,IF(M26="Mayor",0.8,IF(M26="Catastrófico",1,))))))</f>
        <v>1</v>
      </c>
      <c r="O26" s="309" t="str">
        <f>IF(OR(AND(I26="Rara vez",M26="Leve"),AND(I26="Rara vez",M26="Menor"),AND(I26="Improbable",M26="Leve")),"Bajo",IF(OR(AND(I26="Rara vez",M26="Moderado"),AND(I26="Improbable",M26="Menor"),AND(I26="Improbable",M26="Moderado"),AND(I26="Posible",M26="Leve"),AND(I26="Posible",M26="Menor"),AND(I26="Posible",M26="Moderado"),AND(I26="Probable",M26="Leve"),AND(I26="Probable",M26="Menor")),"Moderado",IF(OR(AND(I26="Rara vez",M26="Mayor"),AND(I26="Improbable",M26="Mayor"),AND(I26="Posible",M26="Mayor"),AND(I26="Probable",M26="Moderado"),AND(I26="Probable",M26="Mayor"),AND(I26="Casi Seguro",M26="Leve"),AND(I26="Casi Seguro",M26="Menor"),AND(I26="Casi Seguro",M26="Moderado"),AND(I26="Casi Seguro",M26="Mayor")),"Alto",IF(OR(AND(I26="Rara vez",M26="Catastrófico"),AND(I26="Improbable",M26="Catastrófico"),AND(I26="Posible",M26="Catastrófico"),AND(I26="Probable",M26="Catastrófico"),AND(I26="Casi Seguro",M26="Catastrófico")),"Extremo",""))))</f>
        <v>Extremo</v>
      </c>
      <c r="P26" s="168">
        <v>1</v>
      </c>
      <c r="Q26" s="129" t="s">
        <v>152</v>
      </c>
      <c r="R26" s="169" t="str">
        <f>IF(OR(S26="Preventivo",S26="Detectivo"),"Probabilidad",IF(S26="Correctivo","Impacto",""))</f>
        <v>Probabilidad</v>
      </c>
      <c r="S26" s="170" t="s">
        <v>133</v>
      </c>
      <c r="T26" s="170" t="s">
        <v>113</v>
      </c>
      <c r="U26" s="171" t="str">
        <f>IF(AND(S26="Preventivo",T26="Automático"),"50%",IF(AND(S26="Preventivo",T26="Manual"),"40%",IF(AND(S26="Detectivo",T26="Automático"),"40%",IF(AND(S26="Detectivo",T26="Manual"),"30%",IF(AND(S26="Correctivo",T26="Automático"),"35%",IF(AND(S26="Correctivo",T26="Manual"),"25%",""))))))</f>
        <v>30%</v>
      </c>
      <c r="V26" s="170" t="s">
        <v>119</v>
      </c>
      <c r="W26" s="170" t="s">
        <v>115</v>
      </c>
      <c r="X26" s="170" t="s">
        <v>134</v>
      </c>
      <c r="Y26" s="172">
        <f>IFERROR(IF(R26="Probabilidad",(J26-(+J26*U26)),IF(R26="Impacto",J26,"")),"")</f>
        <v>0.14000000000000001</v>
      </c>
      <c r="Z26" s="173" t="str">
        <f>IFERROR(IF(Y26="","",IF(Y26&lt;=0.2,"Rara vez",IF(Y26&lt;=0.4,"Improbable",IF(Y26&lt;=0.6,"Posible",IF(Y26&lt;=0.8,"Probable","Casi Seguro"))))),"")</f>
        <v>Rara vez</v>
      </c>
      <c r="AA26" s="171">
        <f>+Y26</f>
        <v>0.14000000000000001</v>
      </c>
      <c r="AB26" s="173" t="str">
        <f>IFERROR(IF(AC26="","",IF(AC26&lt;=0.6,"Moderado",IF(AC26&lt;=0.8,"Mayor","Catastrófico"))),"")</f>
        <v>Catastrófico</v>
      </c>
      <c r="AC26" s="171">
        <f>IFERROR(IF(R26="Impacto",(N26-(+N26*U26)),IF(R26="Probabilidad",N26,"")),"")</f>
        <v>1</v>
      </c>
      <c r="AD26" s="174" t="str">
        <f>IFERROR(IF(OR(AND(Z26="Rara vez",AB26="Leve"),AND(Z26="Rara vez",AB26="Menor"),AND(Z26="Improbable",AB26="Leve")),"Bajo",IF(OR(AND(Z26="Rara vez",AB26="Moderado"),AND(Z26="Improbable",AB26="Menor"),AND(Z26="Improbable",AB26="Moderado"),AND(Z26="Posible",AB26="Leve"),AND(Z26="Posible",AB26="Menor"),AND(Z26="Posible",AB26="Moderado"),AND(Z26="Probable",AB26="Leve"),AND(Z26="Probable",AB26="Menor")),"Moderado",IF(OR(AND(Z26="Rara vez",AB26="Mayor"),AND(Z26="Improbable",AB26="Mayor"),AND(Z26="Posible",AB26="Mayor"),AND(Z26="Probable",AB26="Moderado"),AND(Z26="Probable",AB26="Mayor"),AND(Z26="Casi Seguro",AB26="Leve"),AND(Z26="Casi Seguro",AB26="Menor"),AND(Z26="Casi Seguro",AB26="Moderado"),AND(Z26="Casi Seguro",AB26="Mayor")),"Alto",IF(OR(AND(Z26="Rara vez",AB26="Catastrófico"),AND(Z26="Improbable",AB26="Catastrófico"),AND(Z26="Posible",AB26="Catastrófico"),AND(Z26="Probable",AB26="Catastrófico"),AND(Z26="Casi Seguro",AB26="Catastrófico")),"Extremo","")))),"")</f>
        <v>Extremo</v>
      </c>
      <c r="AE26" s="170"/>
      <c r="AF26" s="123"/>
      <c r="AG26" s="123"/>
      <c r="AH26" s="175"/>
      <c r="AI26" s="176"/>
      <c r="AJ26" s="177"/>
      <c r="AK26" s="522"/>
      <c r="AL26" s="534"/>
      <c r="AM26" s="534"/>
      <c r="AN26" s="534"/>
      <c r="AO26" s="534"/>
      <c r="AP26" s="534"/>
      <c r="AQ26" s="534"/>
      <c r="AR26" s="534"/>
      <c r="AS26" s="178"/>
      <c r="AT26" s="178"/>
      <c r="AU26" s="178"/>
      <c r="AV26" s="178"/>
      <c r="AW26" s="178"/>
      <c r="AX26" s="178"/>
      <c r="AY26" s="178"/>
      <c r="AZ26" s="178"/>
      <c r="BA26" s="178"/>
      <c r="BB26" s="178"/>
      <c r="BC26" s="178"/>
      <c r="BD26" s="178"/>
      <c r="BE26" s="178"/>
      <c r="BF26" s="178"/>
      <c r="BG26" s="178"/>
      <c r="BH26" s="178"/>
      <c r="BI26" s="178"/>
      <c r="BJ26" s="178"/>
    </row>
    <row r="27" spans="2:62" ht="143.25" customHeight="1" x14ac:dyDescent="0.2">
      <c r="B27" s="314"/>
      <c r="C27" s="324"/>
      <c r="D27" s="317"/>
      <c r="E27" s="313"/>
      <c r="F27" s="313"/>
      <c r="G27" s="304"/>
      <c r="H27" s="305"/>
      <c r="I27" s="306"/>
      <c r="J27" s="307"/>
      <c r="K27" s="308"/>
      <c r="L27" s="307">
        <f>IF(NOT(ISERROR(MATCH(K27,_xlfn.ANCHORARRAY(#REF!),0))),J36&amp;"Por favor no seleccionar los criterios de impacto",K27)</f>
        <v>0</v>
      </c>
      <c r="M27" s="306"/>
      <c r="N27" s="307"/>
      <c r="O27" s="309"/>
      <c r="P27" s="168">
        <v>2</v>
      </c>
      <c r="Q27" s="129" t="s">
        <v>153</v>
      </c>
      <c r="R27" s="169" t="str">
        <f>IF(OR(S27="Preventivo",S27="Detectivo"),"Probabilidad",IF(S27="Correctivo","Impacto",""))</f>
        <v>Probabilidad</v>
      </c>
      <c r="S27" s="170" t="s">
        <v>112</v>
      </c>
      <c r="T27" s="170" t="s">
        <v>113</v>
      </c>
      <c r="U27" s="171" t="str">
        <f t="shared" ref="U27:U31" si="40">IF(AND(S27="Preventivo",T27="Automático"),"50%",IF(AND(S27="Preventivo",T27="Manual"),"40%",IF(AND(S27="Detectivo",T27="Automático"),"40%",IF(AND(S27="Detectivo",T27="Manual"),"30%",IF(AND(S27="Correctivo",T27="Automático"),"35%",IF(AND(S27="Correctivo",T27="Manual"),"25%",""))))))</f>
        <v>40%</v>
      </c>
      <c r="V27" s="170" t="s">
        <v>119</v>
      </c>
      <c r="W27" s="170" t="s">
        <v>115</v>
      </c>
      <c r="X27" s="170" t="s">
        <v>134</v>
      </c>
      <c r="Y27" s="172">
        <f>IFERROR(IF(AND(R26="Probabilidad",R27="Probabilidad"),(AA26-(+AA26*U27)),IF(R27="Probabilidad",(J26-(+J26*U27)),IF(R27="Impacto",AA26,""))),"")</f>
        <v>8.4000000000000005E-2</v>
      </c>
      <c r="Z27" s="173" t="str">
        <f t="shared" ref="Z27:Z28" si="41">IFERROR(IF(Y27="","",IF(Y27&lt;=0.2,"Rara vez",IF(Y27&lt;=0.4,"Improbable",IF(Y27&lt;=0.6,"Posible",IF(Y27&lt;=0.8,"Probable","Casi Seguro"))))),"")</f>
        <v>Rara vez</v>
      </c>
      <c r="AA27" s="171">
        <f t="shared" ref="AA27:AA31" si="42">+Y27</f>
        <v>8.4000000000000005E-2</v>
      </c>
      <c r="AB27" s="173" t="str">
        <f t="shared" ref="AB27:AB28" si="43">IFERROR(IF(AC27="","",IF(AC27&lt;=0.6,"Moderado",IF(AC27&lt;=0.8,"Mayor","Catastrófico"))),"")</f>
        <v>Catastrófico</v>
      </c>
      <c r="AC27" s="171">
        <f>IFERROR(IF(AND(R26="Impacto",R27="Impacto"),(AC26-(+AC26*U27)),IF(R27="Impacto",(N26-(+N26*U27)),IF(R27="Probabilidad",AC26,""))),"")</f>
        <v>1</v>
      </c>
      <c r="AD27" s="174" t="str">
        <f>IFERROR(IF(OR(AND(Z27="Rara vez",AB27="Leve"),AND(Z27="Rara vez",AB27="Menor"),AND(Z27="Improbable",AB27="Leve")),"Bajo",IF(OR(AND(Z27="Rara vez",AB27="Moderado"),AND(Z27="Improbable",AB27="Menor"),AND(Z27="Improbable",AB27="Moderado"),AND(Z27="Posible",AB27="Leve"),AND(Z27="Posible",AB27="Menor"),AND(Z27="Posible",AB27="Moderado"),AND(Z27="Probable",AB27="Leve"),AND(Z27="Probable",AB27="Menor")),"Moderado",IF(OR(AND(Z27="Rara vez",AB27="Mayor"),AND(Z27="Improbable",AB27="Mayor"),AND(Z27="Posible",AB27="Mayor"),AND(Z27="Probable",AB27="Moderado"),AND(Z27="Probable",AB27="Mayor"),AND(Z27="Casi Seguro",AB27="Leve"),AND(Z27="Casi Seguro",AB27="Menor"),AND(Z27="Casi Seguro",AB27="Moderado"),AND(Z27="Casi Seguro",AB27="Mayor")),"Alto",IF(OR(AND(Z27="Rara vez",AB27="Catastrófico"),AND(Z27="Improbable",AB27="Catastrófico"),AND(Z27="Posible",AB27="Catastrófico"),AND(Z27="Probable",AB27="Catastrófico"),AND(Z27="Casi Seguro",AB27="Catastrófico")),"Extremo","")))),"")</f>
        <v>Extremo</v>
      </c>
      <c r="AE27" s="170"/>
      <c r="AF27" s="132"/>
      <c r="AG27" s="194"/>
      <c r="AH27" s="195"/>
      <c r="AI27" s="176"/>
      <c r="AJ27" s="181"/>
      <c r="AK27" s="522"/>
      <c r="AL27" s="535"/>
      <c r="AM27" s="535"/>
      <c r="AN27" s="535"/>
      <c r="AO27" s="535"/>
      <c r="AP27" s="535"/>
      <c r="AQ27" s="535"/>
      <c r="AR27" s="535"/>
      <c r="AS27" s="158"/>
      <c r="AT27" s="158"/>
      <c r="AU27" s="158"/>
      <c r="AV27" s="158"/>
      <c r="AW27" s="158"/>
      <c r="AX27" s="158"/>
      <c r="AY27" s="158"/>
      <c r="AZ27" s="158"/>
      <c r="BA27" s="158"/>
      <c r="BB27" s="158"/>
      <c r="BC27" s="158"/>
      <c r="BD27" s="158"/>
      <c r="BE27" s="158"/>
      <c r="BF27" s="158"/>
      <c r="BG27" s="158"/>
      <c r="BH27" s="158"/>
      <c r="BI27" s="158"/>
      <c r="BJ27" s="158"/>
    </row>
    <row r="28" spans="2:62" ht="78.75" customHeight="1" x14ac:dyDescent="0.2">
      <c r="B28" s="314"/>
      <c r="C28" s="324"/>
      <c r="D28" s="317"/>
      <c r="E28" s="313"/>
      <c r="F28" s="313"/>
      <c r="G28" s="304"/>
      <c r="H28" s="305"/>
      <c r="I28" s="306"/>
      <c r="J28" s="307"/>
      <c r="K28" s="308"/>
      <c r="L28" s="307">
        <f>IF(NOT(ISERROR(MATCH(K28,_xlfn.ANCHORARRAY(#REF!),0))),J37&amp;"Por favor no seleccionar los criterios de impacto",K28)</f>
        <v>0</v>
      </c>
      <c r="M28" s="306"/>
      <c r="N28" s="307"/>
      <c r="O28" s="309"/>
      <c r="P28" s="168">
        <v>3</v>
      </c>
      <c r="Q28" s="129" t="s">
        <v>154</v>
      </c>
      <c r="R28" s="169" t="str">
        <f t="shared" ref="R28:R31" si="44">IF(OR(S28="Preventivo",S28="Detectivo"),"Probabilidad",IF(S28="Correctivo","Impacto",""))</f>
        <v>Probabilidad</v>
      </c>
      <c r="S28" s="170" t="s">
        <v>133</v>
      </c>
      <c r="T28" s="170" t="s">
        <v>113</v>
      </c>
      <c r="U28" s="171" t="str">
        <f t="shared" si="40"/>
        <v>30%</v>
      </c>
      <c r="V28" s="170" t="s">
        <v>119</v>
      </c>
      <c r="W28" s="170" t="s">
        <v>115</v>
      </c>
      <c r="X28" s="170" t="s">
        <v>134</v>
      </c>
      <c r="Y28" s="172">
        <f>IFERROR(IF(AND(R27="Probabilidad",R28="Probabilidad"),(AA27-(+AA27*U28)),IF(AND(R27="Impacto",R28="Probabilidad"),(AA26-(+AA26*U28)),IF(R28="Impacto",AA27,""))),"")</f>
        <v>5.8800000000000005E-2</v>
      </c>
      <c r="Z28" s="173" t="str">
        <f t="shared" si="41"/>
        <v>Rara vez</v>
      </c>
      <c r="AA28" s="171">
        <f t="shared" si="42"/>
        <v>5.8800000000000005E-2</v>
      </c>
      <c r="AB28" s="173" t="str">
        <f t="shared" si="43"/>
        <v>Catastrófico</v>
      </c>
      <c r="AC28" s="171">
        <f>IFERROR(IF(AND(R27="Impacto",R28="Impacto"),(AC27-(+AC27*U28)),IF(AND(R27="Probabilidad",R28="Impacto"),(AC26-(+AC26*U28)),IF(R28="Probabilidad",AC27,""))),"")</f>
        <v>1</v>
      </c>
      <c r="AD28" s="174" t="str">
        <f>IFERROR(IF(OR(AND(Z28="Rara vez",AB28="Leve"),AND(Z28="Rara vez",AB28="Menor"),AND(Z28="Improbable",AB28="Leve")),"Bajo",IF(OR(AND(Z28="Rara vez",AB28="Moderado"),AND(Z28="Improbable",AB28="Menor"),AND(Z28="Improbable",AB28="Moderado"),AND(Z28="Posible",AB28="Leve"),AND(Z28="Posible",AB28="Menor"),AND(Z28="Posible",AB28="Moderado"),AND(Z28="Probable",AB28="Leve"),AND(Z28="Probable",AB28="Menor")),"Moderado",IF(OR(AND(Z28="Rara vez",AB28="Mayor"),AND(Z28="Improbable",AB28="Mayor"),AND(Z28="Posible",AB28="Mayor"),AND(Z28="Probable",AB28="Moderado"),AND(Z28="Probable",AB28="Mayor"),AND(Z28="Casi Seguro",AB28="Leve"),AND(Z28="Casi Seguro",AB28="Menor"),AND(Z28="Casi Seguro",AB28="Moderado"),AND(Z28="Casi Seguro",AB28="Mayor")),"Alto",IF(OR(AND(Z28="Rara vez",AB28="Catastrófico"),AND(Z28="Improbable",AB28="Catastrófico"),AND(Z28="Posible",AB28="Catastrófico"),AND(Z28="Probable",AB28="Catastrófico"),AND(Z28="Casi Seguro",AB28="Catastrófico")),"Extremo","")))),"")</f>
        <v>Extremo</v>
      </c>
      <c r="AE28" s="196"/>
      <c r="AF28" s="184"/>
      <c r="AG28" s="185"/>
      <c r="AH28" s="186"/>
      <c r="AI28" s="187"/>
      <c r="AJ28" s="188"/>
      <c r="AK28" s="523"/>
      <c r="AL28" s="535"/>
      <c r="AM28" s="535"/>
      <c r="AN28" s="535"/>
      <c r="AO28" s="535"/>
      <c r="AP28" s="535"/>
      <c r="AQ28" s="535"/>
      <c r="AR28" s="535"/>
      <c r="AS28" s="158"/>
      <c r="AT28" s="158"/>
      <c r="AU28" s="158"/>
      <c r="AV28" s="158"/>
      <c r="AW28" s="158"/>
      <c r="AX28" s="158"/>
      <c r="AY28" s="158"/>
      <c r="AZ28" s="158"/>
      <c r="BA28" s="158"/>
      <c r="BB28" s="158"/>
      <c r="BC28" s="158"/>
      <c r="BD28" s="158"/>
      <c r="BE28" s="158"/>
      <c r="BF28" s="158"/>
      <c r="BG28" s="158"/>
      <c r="BH28" s="158"/>
      <c r="BI28" s="158"/>
      <c r="BJ28" s="158"/>
    </row>
    <row r="29" spans="2:62" ht="75.75" customHeight="1" x14ac:dyDescent="0.2">
      <c r="B29" s="314"/>
      <c r="C29" s="324"/>
      <c r="D29" s="317"/>
      <c r="E29" s="313"/>
      <c r="F29" s="313"/>
      <c r="G29" s="304"/>
      <c r="H29" s="305"/>
      <c r="I29" s="306"/>
      <c r="J29" s="307"/>
      <c r="K29" s="308"/>
      <c r="L29" s="307">
        <f>IF(NOT(ISERROR(MATCH(K29,_xlfn.ANCHORARRAY(G36),0))),J38&amp;"Por favor no seleccionar los criterios de impacto",K29)</f>
        <v>0</v>
      </c>
      <c r="M29" s="306"/>
      <c r="N29" s="307"/>
      <c r="O29" s="309"/>
      <c r="P29" s="168">
        <v>4</v>
      </c>
      <c r="Q29" s="129" t="s">
        <v>155</v>
      </c>
      <c r="R29" s="169" t="s">
        <v>118</v>
      </c>
      <c r="S29" s="170" t="s">
        <v>112</v>
      </c>
      <c r="T29" s="170" t="s">
        <v>113</v>
      </c>
      <c r="U29" s="171" t="str">
        <f t="shared" si="40"/>
        <v>40%</v>
      </c>
      <c r="V29" s="170" t="s">
        <v>119</v>
      </c>
      <c r="W29" s="170" t="s">
        <v>115</v>
      </c>
      <c r="X29" s="170" t="s">
        <v>134</v>
      </c>
      <c r="Y29" s="172">
        <f t="shared" ref="Y29:Y31" si="45">IFERROR(IF(AND(R28="Probabilidad",R29="Probabilidad"),(AA28-(+AA28*U29)),IF(AND(R28="Impacto",R29="Probabilidad"),(AA27-(+AA27*U29)),IF(R29="Impacto",AA28,""))),"")</f>
        <v>3.5280000000000006E-2</v>
      </c>
      <c r="Z29" s="197" t="s">
        <v>156</v>
      </c>
      <c r="AA29" s="171">
        <f t="shared" si="42"/>
        <v>3.5280000000000006E-2</v>
      </c>
      <c r="AB29" s="173" t="str">
        <f t="shared" ref="AB29" si="46">IFERROR(IF(AC29="","",IF(AC29&lt;=0.2,"Leve",IF(AC29&lt;=0.4,"Menor",IF(AC29&lt;=0.6,"Moderado",IF(AC29&lt;=0.8,"Mayor","Catastrófico"))))),"")</f>
        <v>Catastrófico</v>
      </c>
      <c r="AC29" s="171">
        <f t="shared" ref="AC29:AC31" si="47">IFERROR(IF(AND(R28="Impacto",R29="Impacto"),(AC28-(+AC28*U29)),IF(AND(R28="Probabilidad",R29="Impacto"),(AC27-(+AC27*U29)),IF(R29="Probabilidad",AC28,""))),"")</f>
        <v>1</v>
      </c>
      <c r="AD29" s="174" t="str">
        <f>IFERROR(IF(OR(AND(Z29="Rara vez",AB29="Leve"),AND(Z29="Rara vez",AB29="Menor"),AND(Z29="Improbable",AB29="Leve")),"Bajo",IF(OR(AND(Z29="Rara vez",AB29="Moderado"),AND(Z29="Improbable",AB29="Menor"),AND(Z29="Improbable",AB29="Moderado"),AND(Z29="Posible",AB29="Leve"),AND(Z29="Posible",AB29="Menor"),AND(Z29="Posible",AB29="Moderado"),AND(Z29="Probable",AB29="Leve"),AND(Z29="Probable",AB29="Menor")),"Moderado",IF(OR(AND(Z29="Rara vez",AB29="Mayor"),AND(Z29="Improbable",AB29="Mayor"),AND(Z29="Posible",AB29="Mayor"),AND(Z29="Probable",AB29="Moderado"),AND(Z29="Probable",AB29="Mayor"),AND(Z29="Casi Seguro",AB29="Leve"),AND(Z29="Casi Seguro",AB29="Menor"),AND(Z29="Casi Seguro",AB29="Moderado"),AND(Z29="Casi Seguro",AB29="Mayor")),"Alto",IF(OR(AND(Z29="Rara vez",AB29="Catastrófico"),AND(Z29="Improbable",AB29="Catastrófico"),AND(Z29="Posible",AB29="Catastrófico"),AND(Z29="Probable",AB29="Catastrófico"),AND(Z29="Casi Seguro",AB29="Catastrófico")),"Extremo","")))),"")</f>
        <v>Extremo</v>
      </c>
      <c r="AE29" s="170"/>
      <c r="AF29" s="133"/>
      <c r="AG29" s="190"/>
      <c r="AH29" s="191"/>
      <c r="AI29" s="176"/>
      <c r="AJ29" s="177"/>
      <c r="AK29" s="522"/>
      <c r="AL29" s="535"/>
      <c r="AM29" s="535"/>
      <c r="AN29" s="535"/>
      <c r="AO29" s="535"/>
      <c r="AP29" s="535"/>
      <c r="AQ29" s="535"/>
      <c r="AR29" s="535"/>
      <c r="AS29" s="158"/>
      <c r="AT29" s="158"/>
      <c r="AU29" s="158"/>
      <c r="AV29" s="158"/>
      <c r="AW29" s="158"/>
      <c r="AX29" s="158"/>
      <c r="AY29" s="158"/>
      <c r="AZ29" s="158"/>
      <c r="BA29" s="158"/>
      <c r="BB29" s="158"/>
      <c r="BC29" s="158"/>
      <c r="BD29" s="158"/>
      <c r="BE29" s="158"/>
      <c r="BF29" s="158"/>
      <c r="BG29" s="158"/>
      <c r="BH29" s="158"/>
      <c r="BI29" s="158"/>
      <c r="BJ29" s="158"/>
    </row>
    <row r="30" spans="2:62" ht="60" customHeight="1" x14ac:dyDescent="0.2">
      <c r="B30" s="314"/>
      <c r="C30" s="324"/>
      <c r="D30" s="317"/>
      <c r="E30" s="313"/>
      <c r="F30" s="313"/>
      <c r="G30" s="304"/>
      <c r="H30" s="305"/>
      <c r="I30" s="306"/>
      <c r="J30" s="307"/>
      <c r="K30" s="308"/>
      <c r="L30" s="307">
        <f>IF(NOT(ISERROR(MATCH(K30,_xlfn.ANCHORARRAY(G37),0))),J39&amp;"Por favor no seleccionar los criterios de impacto",K30)</f>
        <v>0</v>
      </c>
      <c r="M30" s="306"/>
      <c r="N30" s="307"/>
      <c r="O30" s="309"/>
      <c r="P30" s="168">
        <v>5</v>
      </c>
      <c r="Q30" s="129" t="s">
        <v>157</v>
      </c>
      <c r="R30" s="169" t="s">
        <v>136</v>
      </c>
      <c r="S30" s="182" t="s">
        <v>137</v>
      </c>
      <c r="T30" s="170" t="s">
        <v>113</v>
      </c>
      <c r="U30" s="171" t="str">
        <f t="shared" si="40"/>
        <v>25%</v>
      </c>
      <c r="V30" s="170" t="s">
        <v>119</v>
      </c>
      <c r="W30" s="170" t="s">
        <v>115</v>
      </c>
      <c r="X30" s="170" t="s">
        <v>134</v>
      </c>
      <c r="Y30" s="172">
        <f t="shared" si="45"/>
        <v>3.5280000000000006E-2</v>
      </c>
      <c r="Z30" s="173" t="str">
        <f t="shared" ref="Z30:Z31" si="48">IFERROR(IF(Y30="","",IF(Y30&lt;=0.2,"Rara vez",IF(Y30&lt;=0.4,"Improbable",IF(Y30&lt;=0.6,"Posible",IF(Y30&lt;=0.8,"Probable","Casi Seguro"))))),"")</f>
        <v>Rara vez</v>
      </c>
      <c r="AA30" s="171">
        <f t="shared" si="42"/>
        <v>3.5280000000000006E-2</v>
      </c>
      <c r="AB30" s="173" t="str">
        <f t="shared" ref="AB30:AB31" si="49">IFERROR(IF(AC30="","",IF(AC30&lt;=0.6,"Moderado",IF(AC30&lt;=0.8,"Mayor","Catastrófico"))),"")</f>
        <v>Mayor</v>
      </c>
      <c r="AC30" s="171">
        <f t="shared" si="47"/>
        <v>0.75</v>
      </c>
      <c r="AD30" s="174" t="str">
        <f>IFERROR(IF(OR(AND(Z30="Rara vez",AB30="Leve"),AND(Z30="Rara vez",AB30="Menor"),AND(Z30="Improbable",AB30="Leve")),"Bajo",IF(OR(AND(Z30="Rara vez",AB30="Moderado"),AND(Z30="Improbable",AB30="Menor"),AND(Z30="Improbable",AB30="Moderado"),AND(Z30="Posible",AB30="Leve"),AND(Z30="Posible",AB30="Menor"),AND(Z30="Posible",AB30="Moderado"),AND(Z30="Probable",AB30="Leve"),AND(Z30="Probable",AB30="Menor")),"Moderado",IF(OR(AND(Z30="Rara vez",AB30="Mayor"),AND(Z30="Improbable",AB30="Mayor"),AND(Z30="Posible",AB30="Mayor"),AND(Z30="Probable",AB30="Moderado"),AND(Z30="Probable",AB30="Mayor"),AND(Z30="Casi Seguro",AB30="Leve"),AND(Z30="Casi Seguro",AB30="Menor"),AND(Z30="Casi Seguro",AB30="Moderado"),AND(Z30="Casi Seguro",AB30="Mayor")),"Alto",IF(OR(AND(Z30="Rara vez",AB30="Catastrófico"),AND(Z30="Improbable",AB30="Catastrófico"),AND(Z30="Posible",AB30="Catastrófico"),AND(Z30="Probable",AB30="Catastrófico"),AND(Z30="Casi Seguro",AB30="Catastrófico")),"Extremo","")))),"")</f>
        <v>Alto</v>
      </c>
      <c r="AE30" s="179" t="s">
        <v>120</v>
      </c>
      <c r="AF30" s="130" t="s">
        <v>158</v>
      </c>
      <c r="AG30" s="130" t="s">
        <v>159</v>
      </c>
      <c r="AH30" s="131">
        <v>46022</v>
      </c>
      <c r="AI30" s="131"/>
      <c r="AJ30" s="198"/>
      <c r="AK30" s="523" t="s">
        <v>123</v>
      </c>
      <c r="AL30" s="535"/>
      <c r="AM30" s="535"/>
      <c r="AN30" s="535"/>
      <c r="AO30" s="535"/>
      <c r="AP30" s="535"/>
      <c r="AQ30" s="535"/>
      <c r="AR30" s="535"/>
      <c r="AS30" s="158"/>
      <c r="AT30" s="158"/>
      <c r="AU30" s="158"/>
      <c r="AV30" s="158"/>
      <c r="AW30" s="158"/>
      <c r="AX30" s="158"/>
      <c r="AY30" s="158"/>
      <c r="AZ30" s="158"/>
      <c r="BA30" s="158"/>
      <c r="BB30" s="158"/>
      <c r="BC30" s="158"/>
      <c r="BD30" s="158"/>
      <c r="BE30" s="158"/>
      <c r="BF30" s="158"/>
      <c r="BG30" s="158"/>
      <c r="BH30" s="158"/>
      <c r="BI30" s="158"/>
      <c r="BJ30" s="158"/>
    </row>
    <row r="31" spans="2:62" ht="20.25" customHeight="1" x14ac:dyDescent="0.2">
      <c r="B31" s="314"/>
      <c r="C31" s="324"/>
      <c r="D31" s="317"/>
      <c r="E31" s="313"/>
      <c r="F31" s="313"/>
      <c r="G31" s="304"/>
      <c r="H31" s="305"/>
      <c r="I31" s="306"/>
      <c r="J31" s="307"/>
      <c r="K31" s="308"/>
      <c r="L31" s="307">
        <f>IF(NOT(ISERROR(MATCH(K31,_xlfn.ANCHORARRAY(G38),0))),J40&amp;"Por favor no seleccionar los criterios de impacto",K31)</f>
        <v>0</v>
      </c>
      <c r="M31" s="306"/>
      <c r="N31" s="307"/>
      <c r="O31" s="309"/>
      <c r="P31" s="168">
        <v>6</v>
      </c>
      <c r="Q31" s="127"/>
      <c r="R31" s="169" t="str">
        <f t="shared" si="44"/>
        <v/>
      </c>
      <c r="S31" s="170"/>
      <c r="T31" s="170"/>
      <c r="U31" s="171" t="str">
        <f t="shared" si="40"/>
        <v/>
      </c>
      <c r="V31" s="170"/>
      <c r="W31" s="170"/>
      <c r="X31" s="170"/>
      <c r="Y31" s="172" t="str">
        <f t="shared" si="45"/>
        <v/>
      </c>
      <c r="Z31" s="173" t="str">
        <f t="shared" si="48"/>
        <v/>
      </c>
      <c r="AA31" s="171" t="str">
        <f t="shared" si="42"/>
        <v/>
      </c>
      <c r="AB31" s="173" t="str">
        <f t="shared" si="49"/>
        <v/>
      </c>
      <c r="AC31" s="171" t="str">
        <f t="shared" si="47"/>
        <v/>
      </c>
      <c r="AD31" s="174" t="str">
        <f t="shared" ref="AD31" si="50">IFERROR(IF(OR(AND(Z31="Muy Baja",AB31="Leve"),AND(Z31="Muy Baja",AB31="Menor"),AND(Z31="Baja",AB31="Leve")),"Bajo",IF(OR(AND(Z31="Muy baja",AB31="Moderado"),AND(Z31="Baja",AB31="Menor"),AND(Z31="Baja",AB31="Moderado"),AND(Z31="Media",AB31="Leve"),AND(Z31="Media",AB31="Menor"),AND(Z31="Media",AB31="Moderado"),AND(Z31="Alta",AB31="Leve"),AND(Z31="Alta",AB31="Menor")),"Moderado",IF(OR(AND(Z31="Muy Baja",AB31="Mayor"),AND(Z31="Baja",AB31="Mayor"),AND(Z31="Media",AB31="Mayor"),AND(Z31="Alta",AB31="Moderado"),AND(Z31="Alta",AB31="Mayor"),AND(Z31="Muy Alta",AB31="Leve"),AND(Z31="Muy Alta",AB31="Menor"),AND(Z31="Muy Alta",AB31="Moderado"),AND(Z31="Muy Alta",AB31="Mayor")),"Alto",IF(OR(AND(Z31="Muy Baja",AB31="Catastrófico"),AND(Z31="Baja",AB31="Catastrófico"),AND(Z31="Media",AB31="Catastrófico"),AND(Z31="Alta",AB31="Catastrófico"),AND(Z31="Muy Alta",AB31="Catastrófico")),"Extremo","")))),"")</f>
        <v/>
      </c>
      <c r="AE31" s="179"/>
      <c r="AF31" s="192"/>
      <c r="AG31" s="193"/>
      <c r="AH31" s="176"/>
      <c r="AI31" s="176"/>
      <c r="AJ31" s="177"/>
      <c r="AK31" s="522"/>
      <c r="AL31" s="535"/>
      <c r="AM31" s="535"/>
      <c r="AN31" s="535"/>
      <c r="AO31" s="535"/>
      <c r="AP31" s="535"/>
      <c r="AQ31" s="535"/>
      <c r="AR31" s="535"/>
      <c r="AS31" s="158"/>
      <c r="AT31" s="158"/>
      <c r="AU31" s="158"/>
      <c r="AV31" s="158"/>
      <c r="AW31" s="158"/>
      <c r="AX31" s="158"/>
      <c r="AY31" s="158"/>
      <c r="AZ31" s="158"/>
      <c r="BA31" s="158"/>
      <c r="BB31" s="158"/>
      <c r="BC31" s="158"/>
      <c r="BD31" s="158"/>
      <c r="BE31" s="158"/>
      <c r="BF31" s="158"/>
      <c r="BG31" s="158"/>
      <c r="BH31" s="158"/>
      <c r="BI31" s="158"/>
      <c r="BJ31" s="158"/>
    </row>
    <row r="32" spans="2:62" s="163" customFormat="1" ht="69" customHeight="1" x14ac:dyDescent="0.25">
      <c r="B32" s="314" t="s">
        <v>160</v>
      </c>
      <c r="C32" s="324" t="s">
        <v>161</v>
      </c>
      <c r="D32" s="317" t="s">
        <v>162</v>
      </c>
      <c r="E32" s="313" t="s">
        <v>127</v>
      </c>
      <c r="F32" s="313" t="s">
        <v>140</v>
      </c>
      <c r="G32" s="304" t="s">
        <v>163</v>
      </c>
      <c r="H32" s="305" t="s">
        <v>109</v>
      </c>
      <c r="I32" s="306" t="str">
        <f>IF(H32&lt;=0,"",IF(H32="No se ha presentado en los últimos 5 años","Rara vez",IF(H32="Al menos 1 vez en los últimos 5 años","Improbable",IF(H32="Al menos 1 vez en los últimos 2 años","Posible",IF(H32="Al menos 1 vez en el último año","Probable",IF(H32="Más de 1 vez al año","Casi Seguro"))))))</f>
        <v>Rara vez</v>
      </c>
      <c r="J32" s="307">
        <f>IF(I32="","",IF(I32="Rara vez",0.2,IF(I32="Improbable",0.4,IF(I32="Posible",0.6,IF(I32="Probable",0.8,IF(I32="Casi Seguro",1,))))))</f>
        <v>0.2</v>
      </c>
      <c r="K32" s="308" t="s">
        <v>131</v>
      </c>
      <c r="L32" s="307" t="str">
        <f>IF(NOT(ISERROR(MATCH(K32,'Tabla Impacto'!$B$220:$B$222,0))),'Tabla Impacto'!$F$222&amp;"Por favor no seleccionar los criterios de impacto(Criterios para calificar el impacto)",K32)</f>
        <v xml:space="preserve">Responder afirmativamente de DOCE a DIECINUEVE </v>
      </c>
      <c r="M32" s="306" t="str">
        <f>IF(OR(L32='Tabla Impacto'!$C$5),"Moderado",IF(OR(L32='Tabla Impacto'!$C$6),"Mayor",IF(OR(L32='Tabla Impacto'!$C$7),"Catastrófico","")))</f>
        <v>Catastrófico</v>
      </c>
      <c r="N32" s="307">
        <f>IF(M32="","",IF(M32="Leve",0.2,IF(M32="Menor",0.4,IF(M32="Moderado",0.6,IF(M32="Mayor",0.8,IF(M32="Catastrófico",1,))))))</f>
        <v>1</v>
      </c>
      <c r="O32" s="309" t="str">
        <f>IF(OR(AND(I32="Rara vez",M32="Leve"),AND(I32="Rara vez",M32="Menor"),AND(I32="Improbable",M32="Leve")),"Bajo",IF(OR(AND(I32="Rara vez",M32="Moderado"),AND(I32="Improbable",M32="Menor"),AND(I32="Improbable",M32="Moderado"),AND(I32="Posible",M32="Leve"),AND(I32="Posible",M32="Menor"),AND(I32="Posible",M32="Moderado"),AND(I32="Probable",M32="Leve"),AND(I32="Probable",M32="Menor")),"Moderado",IF(OR(AND(I32="Rara vez",M32="Mayor"),AND(I32="Improbable",M32="Mayor"),AND(I32="Posible",M32="Mayor"),AND(I32="Probable",M32="Moderado"),AND(I32="Probable",M32="Mayor"),AND(I32="Casi Seguro",M32="Leve"),AND(I32="Casi Seguro",M32="Menor"),AND(I32="Casi Seguro",M32="Moderado"),AND(I32="Casi Seguro",M32="Mayor")),"Alto",IF(OR(AND(I32="Rara vez",M32="Catastrófico"),AND(I32="Improbable",M32="Catastrófico"),AND(I32="Posible",M32="Catastrófico"),AND(I32="Probable",M32="Catastrófico"),AND(I32="Casi Seguro",M32="Catastrófico")),"Extremo",""))))</f>
        <v>Extremo</v>
      </c>
      <c r="P32" s="168">
        <v>1</v>
      </c>
      <c r="Q32" s="129" t="s">
        <v>164</v>
      </c>
      <c r="R32" s="169" t="str">
        <f>IF(OR(S32="Preventivo",S32="Detectivo"),"Probabilidad",IF(S32="Correctivo","Impacto",""))</f>
        <v>Probabilidad</v>
      </c>
      <c r="S32" s="170" t="s">
        <v>112</v>
      </c>
      <c r="T32" s="170" t="s">
        <v>113</v>
      </c>
      <c r="U32" s="171" t="str">
        <f>IF(AND(S32="Preventivo",T32="Automático"),"50%",IF(AND(S32="Preventivo",T32="Manual"),"40%",IF(AND(S32="Detectivo",T32="Automático"),"40%",IF(AND(S32="Detectivo",T32="Manual"),"30%",IF(AND(S32="Correctivo",T32="Automático"),"35%",IF(AND(S32="Correctivo",T32="Manual"),"25%",""))))))</f>
        <v>40%</v>
      </c>
      <c r="V32" s="170" t="s">
        <v>119</v>
      </c>
      <c r="W32" s="170" t="s">
        <v>115</v>
      </c>
      <c r="X32" s="170" t="s">
        <v>116</v>
      </c>
      <c r="Y32" s="172">
        <f>IFERROR(IF(R32="Probabilidad",(J32-(+J32*U32)),IF(R32="Impacto",J32,"")),"")</f>
        <v>0.12</v>
      </c>
      <c r="Z32" s="173" t="str">
        <f>IFERROR(IF(Y32="","",IF(Y32&lt;=0.2,"Rara vez",IF(Y32&lt;=0.4,"Improbable",IF(Y32&lt;=0.6,"Posible",IF(Y32&lt;=0.8,"Probable","Casi Seguro"))))),"")</f>
        <v>Rara vez</v>
      </c>
      <c r="AA32" s="171">
        <f>+Y32</f>
        <v>0.12</v>
      </c>
      <c r="AB32" s="173" t="str">
        <f>IFERROR(IF(AC32="","",IF(AC32&lt;=0.6,"Moderado",IF(AC32&lt;=0.8,"Mayor","Catastrófico"))),"")</f>
        <v>Catastrófico</v>
      </c>
      <c r="AC32" s="171">
        <f>IFERROR(IF(R32="Impacto",(N32-(+N32*U32)),IF(R32="Probabilidad",N32,"")),"")</f>
        <v>1</v>
      </c>
      <c r="AD32" s="174" t="str">
        <f t="shared" ref="AD32:AD39" si="51">IFERROR(IF(OR(AND(Z32="Rara vez",AB32="Leve"),AND(Z32="Rara vez",AB32="Menor"),AND(Z32="Improbable",AB32="Leve")),"Bajo",IF(OR(AND(Z32="Rara vez",AB32="Moderado"),AND(Z32="Improbable",AB32="Menor"),AND(Z32="Improbable",AB32="Moderado"),AND(Z32="Posible",AB32="Leve"),AND(Z32="Posible",AB32="Menor"),AND(Z32="Posible",AB32="Moderado"),AND(Z32="Probable",AB32="Leve"),AND(Z32="Probable",AB32="Menor")),"Moderado",IF(OR(AND(Z32="Rara vez",AB32="Mayor"),AND(Z32="Improbable",AB32="Mayor"),AND(Z32="Posible",AB32="Mayor"),AND(Z32="Probable",AB32="Moderado"),AND(Z32="Probable",AB32="Mayor"),AND(Z32="Casi Seguro",AB32="Leve"),AND(Z32="Casi Seguro",AB32="Menor"),AND(Z32="Casi Seguro",AB32="Moderado"),AND(Z32="Casi Seguro",AB32="Mayor")),"Alto",IF(OR(AND(Z32="Rara vez",AB32="Catastrófico"),AND(Z32="Improbable",AB32="Catastrófico"),AND(Z32="Posible",AB32="Catastrófico"),AND(Z32="Probable",AB32="Catastrófico"),AND(Z32="Casi Seguro",AB32="Catastrófico")),"Extremo","")))),"")</f>
        <v>Extremo</v>
      </c>
      <c r="AE32" s="170"/>
      <c r="AF32" s="123"/>
      <c r="AG32" s="123"/>
      <c r="AH32" s="175"/>
      <c r="AI32" s="176"/>
      <c r="AJ32" s="177"/>
      <c r="AK32" s="522"/>
      <c r="AL32" s="534"/>
      <c r="AM32" s="534"/>
      <c r="AN32" s="534"/>
      <c r="AO32" s="534"/>
      <c r="AP32" s="534"/>
      <c r="AQ32" s="534"/>
      <c r="AR32" s="534"/>
      <c r="AS32" s="178"/>
      <c r="AT32" s="178"/>
      <c r="AU32" s="178"/>
      <c r="AV32" s="178"/>
      <c r="AW32" s="178"/>
      <c r="AX32" s="178"/>
      <c r="AY32" s="178"/>
      <c r="AZ32" s="178"/>
      <c r="BA32" s="178"/>
      <c r="BB32" s="178"/>
      <c r="BC32" s="178"/>
      <c r="BD32" s="178"/>
      <c r="BE32" s="178"/>
      <c r="BF32" s="178"/>
      <c r="BG32" s="178"/>
      <c r="BH32" s="178"/>
      <c r="BI32" s="178"/>
      <c r="BJ32" s="178"/>
    </row>
    <row r="33" spans="2:62" ht="75.75" customHeight="1" x14ac:dyDescent="0.2">
      <c r="B33" s="314"/>
      <c r="C33" s="324"/>
      <c r="D33" s="317"/>
      <c r="E33" s="313"/>
      <c r="F33" s="313"/>
      <c r="G33" s="304"/>
      <c r="H33" s="305"/>
      <c r="I33" s="306"/>
      <c r="J33" s="307"/>
      <c r="K33" s="308"/>
      <c r="L33" s="307">
        <f>IF(NOT(ISERROR(MATCH(K33,_xlfn.ANCHORARRAY(G42),0))),J44&amp;"Por favor no seleccionar los criterios de impacto",K33)</f>
        <v>0</v>
      </c>
      <c r="M33" s="306"/>
      <c r="N33" s="307"/>
      <c r="O33" s="309"/>
      <c r="P33" s="168">
        <v>2</v>
      </c>
      <c r="Q33" s="129" t="s">
        <v>165</v>
      </c>
      <c r="R33" s="169" t="str">
        <f>IF(OR(S33="Preventivo",S33="Detectivo"),"Probabilidad",IF(S33="Correctivo","Impacto",""))</f>
        <v>Probabilidad</v>
      </c>
      <c r="S33" s="170" t="s">
        <v>133</v>
      </c>
      <c r="T33" s="170" t="s">
        <v>113</v>
      </c>
      <c r="U33" s="171" t="str">
        <f t="shared" ref="U33:U35" si="52">IF(AND(S33="Preventivo",T33="Automático"),"50%",IF(AND(S33="Preventivo",T33="Manual"),"40%",IF(AND(S33="Detectivo",T33="Automático"),"40%",IF(AND(S33="Detectivo",T33="Manual"),"30%",IF(AND(S33="Correctivo",T33="Automático"),"35%",IF(AND(S33="Correctivo",T33="Manual"),"25%",""))))))</f>
        <v>30%</v>
      </c>
      <c r="V33" s="170" t="s">
        <v>119</v>
      </c>
      <c r="W33" s="170" t="s">
        <v>115</v>
      </c>
      <c r="X33" s="170" t="s">
        <v>116</v>
      </c>
      <c r="Y33" s="172">
        <f>IFERROR(IF(AND(R32="Probabilidad",R33="Probabilidad"),(AA32-(+AA32*U33)),IF(R33="Probabilidad",(J32-(+J32*U33)),IF(R33="Impacto",AA32,""))),"")</f>
        <v>8.3999999999999991E-2</v>
      </c>
      <c r="Z33" s="173" t="str">
        <f t="shared" ref="Z33:Z34" si="53">IFERROR(IF(Y33="","",IF(Y33&lt;=0.2,"Rara vez",IF(Y33&lt;=0.4,"Improbable",IF(Y33&lt;=0.6,"Posible",IF(Y33&lt;=0.8,"Probable","Casi Seguro"))))),"")</f>
        <v>Rara vez</v>
      </c>
      <c r="AA33" s="171">
        <f t="shared" ref="AA33:AA35" si="54">+Y33</f>
        <v>8.3999999999999991E-2</v>
      </c>
      <c r="AB33" s="173" t="str">
        <f t="shared" ref="AB33:AB34" si="55">IFERROR(IF(AC33="","",IF(AC33&lt;=0.6,"Moderado",IF(AC33&lt;=0.8,"Mayor","Catastrófico"))),"")</f>
        <v>Catastrófico</v>
      </c>
      <c r="AC33" s="171">
        <f>IFERROR(IF(AND(R32="Impacto",R33="Impacto"),(AC32-(+AC32*U33)),IF(R33="Impacto",(N32-(+N32*U33)),IF(R33="Probabilidad",AC32,""))),"")</f>
        <v>1</v>
      </c>
      <c r="AD33" s="174" t="str">
        <f t="shared" si="51"/>
        <v>Extremo</v>
      </c>
      <c r="AE33" s="170"/>
      <c r="AF33" s="132"/>
      <c r="AG33" s="194"/>
      <c r="AH33" s="195"/>
      <c r="AI33" s="176"/>
      <c r="AJ33" s="181"/>
      <c r="AK33" s="522"/>
      <c r="AL33" s="535"/>
      <c r="AM33" s="535"/>
      <c r="AN33" s="535"/>
      <c r="AO33" s="535"/>
      <c r="AP33" s="535"/>
      <c r="AQ33" s="535"/>
      <c r="AR33" s="535"/>
      <c r="AS33" s="158"/>
      <c r="AT33" s="158"/>
      <c r="AU33" s="158"/>
      <c r="AV33" s="158"/>
      <c r="AW33" s="158"/>
      <c r="AX33" s="158"/>
      <c r="AY33" s="158"/>
      <c r="AZ33" s="158"/>
      <c r="BA33" s="158"/>
      <c r="BB33" s="158"/>
      <c r="BC33" s="158"/>
      <c r="BD33" s="158"/>
      <c r="BE33" s="158"/>
      <c r="BF33" s="158"/>
      <c r="BG33" s="158"/>
      <c r="BH33" s="158"/>
      <c r="BI33" s="158"/>
      <c r="BJ33" s="158"/>
    </row>
    <row r="34" spans="2:62" ht="78" customHeight="1" x14ac:dyDescent="0.2">
      <c r="B34" s="314"/>
      <c r="C34" s="324"/>
      <c r="D34" s="317"/>
      <c r="E34" s="313"/>
      <c r="F34" s="313"/>
      <c r="G34" s="304"/>
      <c r="H34" s="305"/>
      <c r="I34" s="306"/>
      <c r="J34" s="307"/>
      <c r="K34" s="308"/>
      <c r="L34" s="307">
        <f>IF(NOT(ISERROR(MATCH(K34,_xlfn.ANCHORARRAY(G43),0))),J45&amp;"Por favor no seleccionar los criterios de impacto",K34)</f>
        <v>0</v>
      </c>
      <c r="M34" s="306"/>
      <c r="N34" s="307"/>
      <c r="O34" s="309"/>
      <c r="P34" s="168">
        <v>3</v>
      </c>
      <c r="Q34" s="129" t="s">
        <v>166</v>
      </c>
      <c r="R34" s="169" t="str">
        <f t="shared" ref="R34:R35" si="56">IF(OR(S34="Preventivo",S34="Detectivo"),"Probabilidad",IF(S34="Correctivo","Impacto",""))</f>
        <v>Probabilidad</v>
      </c>
      <c r="S34" s="170" t="s">
        <v>133</v>
      </c>
      <c r="T34" s="170" t="s">
        <v>113</v>
      </c>
      <c r="U34" s="171" t="str">
        <f t="shared" si="52"/>
        <v>30%</v>
      </c>
      <c r="V34" s="170" t="s">
        <v>119</v>
      </c>
      <c r="W34" s="170" t="s">
        <v>115</v>
      </c>
      <c r="X34" s="170" t="s">
        <v>116</v>
      </c>
      <c r="Y34" s="172">
        <f>IFERROR(IF(AND(R33="Probabilidad",R34="Probabilidad"),(AA33-(+AA33*U34)),IF(AND(R33="Impacto",R34="Probabilidad"),(AA32-(+AA32*U34)),IF(R34="Impacto",AA33,""))),"")</f>
        <v>5.8799999999999991E-2</v>
      </c>
      <c r="Z34" s="173" t="str">
        <f t="shared" si="53"/>
        <v>Rara vez</v>
      </c>
      <c r="AA34" s="171">
        <f t="shared" si="54"/>
        <v>5.8799999999999991E-2</v>
      </c>
      <c r="AB34" s="173" t="str">
        <f t="shared" si="55"/>
        <v>Catastrófico</v>
      </c>
      <c r="AC34" s="171">
        <f>IFERROR(IF(AND(R33="Impacto",R34="Impacto"),(AC33-(+AC33*U34)),IF(AND(R33="Probabilidad",R34="Impacto"),(AC32-(+AC32*U34)),IF(R34="Probabilidad",AC33,""))),"")</f>
        <v>1</v>
      </c>
      <c r="AD34" s="174" t="str">
        <f t="shared" si="51"/>
        <v>Extremo</v>
      </c>
      <c r="AE34" s="196"/>
      <c r="AF34" s="184"/>
      <c r="AG34" s="185"/>
      <c r="AH34" s="186"/>
      <c r="AI34" s="187"/>
      <c r="AJ34" s="188"/>
      <c r="AK34" s="523"/>
      <c r="AL34" s="535"/>
      <c r="AM34" s="535"/>
      <c r="AN34" s="535"/>
      <c r="AO34" s="535"/>
      <c r="AP34" s="535"/>
      <c r="AQ34" s="535"/>
      <c r="AR34" s="535"/>
      <c r="AS34" s="158"/>
      <c r="AT34" s="158"/>
      <c r="AU34" s="158"/>
      <c r="AV34" s="158"/>
      <c r="AW34" s="158"/>
      <c r="AX34" s="158"/>
      <c r="AY34" s="158"/>
      <c r="AZ34" s="158"/>
      <c r="BA34" s="158"/>
      <c r="BB34" s="158"/>
      <c r="BC34" s="158"/>
      <c r="BD34" s="158"/>
      <c r="BE34" s="158"/>
      <c r="BF34" s="158"/>
      <c r="BG34" s="158"/>
      <c r="BH34" s="158"/>
      <c r="BI34" s="158"/>
      <c r="BJ34" s="158"/>
    </row>
    <row r="35" spans="2:62" ht="65.25" x14ac:dyDescent="0.2">
      <c r="B35" s="314"/>
      <c r="C35" s="324"/>
      <c r="D35" s="317"/>
      <c r="E35" s="313"/>
      <c r="F35" s="313"/>
      <c r="G35" s="304"/>
      <c r="H35" s="305"/>
      <c r="I35" s="306"/>
      <c r="J35" s="307"/>
      <c r="K35" s="308"/>
      <c r="L35" s="307">
        <f>IF(NOT(ISERROR(MATCH(K35,_xlfn.ANCHORARRAY(G44),0))),J46&amp;"Por favor no seleccionar los criterios de impacto",K35)</f>
        <v>0</v>
      </c>
      <c r="M35" s="306"/>
      <c r="N35" s="307"/>
      <c r="O35" s="309"/>
      <c r="P35" s="168">
        <v>4</v>
      </c>
      <c r="Q35" s="129" t="s">
        <v>167</v>
      </c>
      <c r="R35" s="169" t="str">
        <f t="shared" si="56"/>
        <v>Impacto</v>
      </c>
      <c r="S35" s="182" t="s">
        <v>137</v>
      </c>
      <c r="T35" s="170" t="s">
        <v>113</v>
      </c>
      <c r="U35" s="171" t="str">
        <f t="shared" si="52"/>
        <v>25%</v>
      </c>
      <c r="V35" s="170" t="s">
        <v>119</v>
      </c>
      <c r="W35" s="170" t="s">
        <v>115</v>
      </c>
      <c r="X35" s="170" t="s">
        <v>134</v>
      </c>
      <c r="Y35" s="172">
        <f t="shared" ref="Y35" si="57">IFERROR(IF(AND(R34="Probabilidad",R35="Probabilidad"),(AA34-(+AA34*U35)),IF(AND(R34="Impacto",R35="Probabilidad"),(AA33-(+AA33*U35)),IF(R35="Impacto",AA34,""))),"")</f>
        <v>5.8799999999999991E-2</v>
      </c>
      <c r="Z35" s="197" t="s">
        <v>156</v>
      </c>
      <c r="AA35" s="171">
        <f t="shared" si="54"/>
        <v>5.8799999999999991E-2</v>
      </c>
      <c r="AB35" s="173" t="str">
        <f t="shared" ref="AB35" si="58">IFERROR(IF(AC35="","",IF(AC35&lt;=0.2,"Leve",IF(AC35&lt;=0.4,"Menor",IF(AC35&lt;=0.6,"Moderado",IF(AC35&lt;=0.8,"Mayor","Catastrófico"))))),"")</f>
        <v>Mayor</v>
      </c>
      <c r="AC35" s="171">
        <f t="shared" ref="AC35" si="59">IFERROR(IF(AND(R34="Impacto",R35="Impacto"),(AC34-(+AC34*U35)),IF(AND(R34="Probabilidad",R35="Impacto"),(AC33-(+AC33*U35)),IF(R35="Probabilidad",AC34,""))),"")</f>
        <v>0.75</v>
      </c>
      <c r="AD35" s="174" t="str">
        <f t="shared" si="51"/>
        <v>Alto</v>
      </c>
      <c r="AE35" s="170"/>
      <c r="AF35" s="133"/>
      <c r="AG35" s="190"/>
      <c r="AH35" s="191"/>
      <c r="AI35" s="176"/>
      <c r="AJ35" s="177"/>
      <c r="AK35" s="522"/>
      <c r="AL35" s="535"/>
      <c r="AM35" s="535"/>
      <c r="AN35" s="535"/>
      <c r="AO35" s="535"/>
      <c r="AP35" s="535"/>
      <c r="AQ35" s="535"/>
      <c r="AR35" s="535"/>
      <c r="AS35" s="158"/>
      <c r="AT35" s="158"/>
      <c r="AU35" s="158"/>
      <c r="AV35" s="158"/>
      <c r="AW35" s="158"/>
      <c r="AX35" s="158"/>
      <c r="AY35" s="158"/>
      <c r="AZ35" s="158"/>
      <c r="BA35" s="158"/>
      <c r="BB35" s="158"/>
      <c r="BC35" s="158"/>
      <c r="BD35" s="158"/>
      <c r="BE35" s="158"/>
      <c r="BF35" s="158"/>
      <c r="BG35" s="158"/>
      <c r="BH35" s="158"/>
      <c r="BI35" s="158"/>
      <c r="BJ35" s="158"/>
    </row>
    <row r="36" spans="2:62" s="163" customFormat="1" ht="69" customHeight="1" x14ac:dyDescent="0.25">
      <c r="B36" s="314" t="s">
        <v>168</v>
      </c>
      <c r="C36" s="324" t="s">
        <v>161</v>
      </c>
      <c r="D36" s="317" t="s">
        <v>169</v>
      </c>
      <c r="E36" s="313" t="s">
        <v>127</v>
      </c>
      <c r="F36" s="313" t="s">
        <v>170</v>
      </c>
      <c r="G36" s="304" t="s">
        <v>163</v>
      </c>
      <c r="H36" s="305" t="s">
        <v>109</v>
      </c>
      <c r="I36" s="306" t="str">
        <f>IF(H36&lt;=0,"",IF(H36="No se ha presentado en los últimos 5 años","Rara vez",IF(H36="Al menos 1 vez en los últimos 5 años","Improbable",IF(H36="Al menos 1 vez en los últimos 2 años","Posible",IF(H36="Al menos 1 vez en el último año","Probable",IF(H36="Más de 1 vez al año","Casi Seguro"))))))</f>
        <v>Rara vez</v>
      </c>
      <c r="J36" s="307">
        <f>IF(I36="","",IF(I36="Rara vez",0.2,IF(I36="Improbable",0.4,IF(I36="Posible",0.6,IF(I36="Probable",0.8,IF(I36="Casi Seguro",1,))))))</f>
        <v>0.2</v>
      </c>
      <c r="K36" s="308" t="s">
        <v>131</v>
      </c>
      <c r="L36" s="307" t="str">
        <f>IF(NOT(ISERROR(MATCH(K36,'Tabla Impacto'!$B$220:$B$222,0))),'Tabla Impacto'!$F$222&amp;"Por favor no seleccionar los criterios de impacto(Criterios para calificar el impacto)",K36)</f>
        <v xml:space="preserve">Responder afirmativamente de DOCE a DIECINUEVE </v>
      </c>
      <c r="M36" s="306" t="str">
        <f>IF(OR(L36='Tabla Impacto'!$C$5),"Moderado",IF(OR(L36='Tabla Impacto'!$C$6),"Mayor",IF(OR(L36='Tabla Impacto'!$C$7),"Catastrófico","")))</f>
        <v>Catastrófico</v>
      </c>
      <c r="N36" s="307">
        <f>IF(M36="","",IF(M36="Leve",0.2,IF(M36="Menor",0.4,IF(M36="Moderado",0.6,IF(M36="Mayor",0.8,IF(M36="Catastrófico",1,))))))</f>
        <v>1</v>
      </c>
      <c r="O36" s="309" t="str">
        <f>IF(OR(AND(I36="Rara vez",M36="Leve"),AND(I36="Rara vez",M36="Menor"),AND(I36="Improbable",M36="Leve")),"Bajo",IF(OR(AND(I36="Rara vez",M36="Moderado"),AND(I36="Improbable",M36="Menor"),AND(I36="Improbable",M36="Moderado"),AND(I36="Posible",M36="Leve"),AND(I36="Posible",M36="Menor"),AND(I36="Posible",M36="Moderado"),AND(I36="Probable",M36="Leve"),AND(I36="Probable",M36="Menor")),"Moderado",IF(OR(AND(I36="Rara vez",M36="Mayor"),AND(I36="Improbable",M36="Mayor"),AND(I36="Posible",M36="Mayor"),AND(I36="Probable",M36="Moderado"),AND(I36="Probable",M36="Mayor"),AND(I36="Casi Seguro",M36="Leve"),AND(I36="Casi Seguro",M36="Menor"),AND(I36="Casi Seguro",M36="Moderado"),AND(I36="Casi Seguro",M36="Mayor")),"Alto",IF(OR(AND(I36="Rara vez",M36="Catastrófico"),AND(I36="Improbable",M36="Catastrófico"),AND(I36="Posible",M36="Catastrófico"),AND(I36="Probable",M36="Catastrófico"),AND(I36="Casi Seguro",M36="Catastrófico")),"Extremo",""))))</f>
        <v>Extremo</v>
      </c>
      <c r="P36" s="168">
        <v>1</v>
      </c>
      <c r="Q36" s="129" t="s">
        <v>172</v>
      </c>
      <c r="R36" s="169" t="str">
        <f>IF(OR(S36="Preventivo",S36="Detectivo"),"Probabilidad",IF(S36="Correctivo","Impacto",""))</f>
        <v>Probabilidad</v>
      </c>
      <c r="S36" s="170" t="s">
        <v>112</v>
      </c>
      <c r="T36" s="170" t="s">
        <v>113</v>
      </c>
      <c r="U36" s="171" t="str">
        <f>IF(AND(S36="Preventivo",T36="Automático"),"50%",IF(AND(S36="Preventivo",T36="Manual"),"40%",IF(AND(S36="Detectivo",T36="Automático"),"40%",IF(AND(S36="Detectivo",T36="Manual"),"30%",IF(AND(S36="Correctivo",T36="Automático"),"35%",IF(AND(S36="Correctivo",T36="Manual"),"25%",""))))))</f>
        <v>40%</v>
      </c>
      <c r="V36" s="170" t="s">
        <v>119</v>
      </c>
      <c r="W36" s="170" t="s">
        <v>115</v>
      </c>
      <c r="X36" s="170" t="s">
        <v>116</v>
      </c>
      <c r="Y36" s="172">
        <f>IFERROR(IF(R36="Probabilidad",(J36-(+J36*U36)),IF(R36="Impacto",J36,"")),"")</f>
        <v>0.12</v>
      </c>
      <c r="Z36" s="173" t="str">
        <f>IFERROR(IF(Y36="","",IF(Y36&lt;=0.2,"Rara vez",IF(Y36&lt;=0.4,"Improbable",IF(Y36&lt;=0.6,"Posible",IF(Y36&lt;=0.8,"Probable","Casi Seguro"))))),"")</f>
        <v>Rara vez</v>
      </c>
      <c r="AA36" s="171">
        <f>+Y36</f>
        <v>0.12</v>
      </c>
      <c r="AB36" s="173" t="str">
        <f>IFERROR(IF(AC36="","",IF(AC36&lt;=0.6,"Moderado",IF(AC36&lt;=0.8,"Mayor","Catastrófico"))),"")</f>
        <v>Catastrófico</v>
      </c>
      <c r="AC36" s="171">
        <f>IFERROR(IF(R36="Impacto",(N36-(+N36*U36)),IF(R36="Probabilidad",N36,"")),"")</f>
        <v>1</v>
      </c>
      <c r="AD36" s="174" t="str">
        <f t="shared" si="51"/>
        <v>Extremo</v>
      </c>
      <c r="AE36" s="170"/>
      <c r="AF36" s="123"/>
      <c r="AG36" s="123"/>
      <c r="AH36" s="175"/>
      <c r="AI36" s="176"/>
      <c r="AJ36" s="177"/>
      <c r="AK36" s="522"/>
      <c r="AL36" s="534"/>
      <c r="AM36" s="534"/>
      <c r="AN36" s="534"/>
      <c r="AO36" s="534"/>
      <c r="AP36" s="534"/>
      <c r="AQ36" s="534"/>
      <c r="AR36" s="534"/>
      <c r="AS36" s="178"/>
      <c r="AT36" s="178"/>
      <c r="AU36" s="178"/>
      <c r="AV36" s="178"/>
      <c r="AW36" s="178"/>
      <c r="AX36" s="178"/>
      <c r="AY36" s="178"/>
      <c r="AZ36" s="178"/>
      <c r="BA36" s="178"/>
      <c r="BB36" s="178"/>
      <c r="BC36" s="178"/>
      <c r="BD36" s="178"/>
      <c r="BE36" s="178"/>
      <c r="BF36" s="178"/>
      <c r="BG36" s="178"/>
      <c r="BH36" s="178"/>
      <c r="BI36" s="178"/>
      <c r="BJ36" s="178"/>
    </row>
    <row r="37" spans="2:62" ht="75.75" customHeight="1" x14ac:dyDescent="0.2">
      <c r="B37" s="314"/>
      <c r="C37" s="324"/>
      <c r="D37" s="317"/>
      <c r="E37" s="313"/>
      <c r="F37" s="313"/>
      <c r="G37" s="304"/>
      <c r="H37" s="305"/>
      <c r="I37" s="306"/>
      <c r="J37" s="307"/>
      <c r="K37" s="308"/>
      <c r="L37" s="307">
        <f>IF(NOT(ISERROR(MATCH(K37,_xlfn.ANCHORARRAY(G48),0))),J50&amp;"Por favor no seleccionar los criterios de impacto",K37)</f>
        <v>0</v>
      </c>
      <c r="M37" s="306"/>
      <c r="N37" s="307"/>
      <c r="O37" s="309"/>
      <c r="P37" s="168">
        <v>2</v>
      </c>
      <c r="Q37" s="129" t="s">
        <v>173</v>
      </c>
      <c r="R37" s="169" t="str">
        <f>IF(OR(S37="Preventivo",S37="Detectivo"),"Probabilidad",IF(S37="Correctivo","Impacto",""))</f>
        <v>Probabilidad</v>
      </c>
      <c r="S37" s="170" t="s">
        <v>133</v>
      </c>
      <c r="T37" s="170" t="s">
        <v>113</v>
      </c>
      <c r="U37" s="171" t="str">
        <f t="shared" ref="U37:U41" si="60">IF(AND(S37="Preventivo",T37="Automático"),"50%",IF(AND(S37="Preventivo",T37="Manual"),"40%",IF(AND(S37="Detectivo",T37="Automático"),"40%",IF(AND(S37="Detectivo",T37="Manual"),"30%",IF(AND(S37="Correctivo",T37="Automático"),"35%",IF(AND(S37="Correctivo",T37="Manual"),"25%",""))))))</f>
        <v>30%</v>
      </c>
      <c r="V37" s="170" t="s">
        <v>119</v>
      </c>
      <c r="W37" s="170" t="s">
        <v>115</v>
      </c>
      <c r="X37" s="170" t="s">
        <v>116</v>
      </c>
      <c r="Y37" s="172">
        <f>IFERROR(IF(AND(R36="Probabilidad",R37="Probabilidad"),(AA36-(+AA36*U37)),IF(R37="Probabilidad",(J36-(+J36*U37)),IF(R37="Impacto",AA36,""))),"")</f>
        <v>8.3999999999999991E-2</v>
      </c>
      <c r="Z37" s="173" t="str">
        <f t="shared" ref="Z37:Z38" si="61">IFERROR(IF(Y37="","",IF(Y37&lt;=0.2,"Rara vez",IF(Y37&lt;=0.4,"Improbable",IF(Y37&lt;=0.6,"Posible",IF(Y37&lt;=0.8,"Probable","Casi Seguro"))))),"")</f>
        <v>Rara vez</v>
      </c>
      <c r="AA37" s="171">
        <f t="shared" ref="AA37:AA41" si="62">+Y37</f>
        <v>8.3999999999999991E-2</v>
      </c>
      <c r="AB37" s="173" t="str">
        <f t="shared" ref="AB37:AB38" si="63">IFERROR(IF(AC37="","",IF(AC37&lt;=0.6,"Moderado",IF(AC37&lt;=0.8,"Mayor","Catastrófico"))),"")</f>
        <v>Catastrófico</v>
      </c>
      <c r="AC37" s="171">
        <f>IFERROR(IF(AND(R36="Impacto",R37="Impacto"),(AC36-(+AC36*U37)),IF(R37="Impacto",(N36-(+N36*U37)),IF(R37="Probabilidad",AC36,""))),"")</f>
        <v>1</v>
      </c>
      <c r="AD37" s="174" t="str">
        <f t="shared" si="51"/>
        <v>Extremo</v>
      </c>
      <c r="AE37" s="170"/>
      <c r="AF37" s="132"/>
      <c r="AG37" s="194"/>
      <c r="AH37" s="195"/>
      <c r="AI37" s="176"/>
      <c r="AJ37" s="181"/>
      <c r="AK37" s="522"/>
      <c r="AL37" s="535"/>
      <c r="AM37" s="535"/>
      <c r="AN37" s="535"/>
      <c r="AO37" s="535"/>
      <c r="AP37" s="535"/>
      <c r="AQ37" s="535"/>
      <c r="AR37" s="535"/>
      <c r="AS37" s="158"/>
      <c r="AT37" s="158"/>
      <c r="AU37" s="158"/>
      <c r="AV37" s="158"/>
      <c r="AW37" s="158"/>
      <c r="AX37" s="158"/>
      <c r="AY37" s="158"/>
      <c r="AZ37" s="158"/>
      <c r="BA37" s="158"/>
      <c r="BB37" s="158"/>
      <c r="BC37" s="158"/>
      <c r="BD37" s="158"/>
      <c r="BE37" s="158"/>
      <c r="BF37" s="158"/>
      <c r="BG37" s="158"/>
      <c r="BH37" s="158"/>
      <c r="BI37" s="158"/>
      <c r="BJ37" s="158"/>
    </row>
    <row r="38" spans="2:62" ht="99.75" customHeight="1" x14ac:dyDescent="0.2">
      <c r="B38" s="314"/>
      <c r="C38" s="324"/>
      <c r="D38" s="317"/>
      <c r="E38" s="313"/>
      <c r="F38" s="313"/>
      <c r="G38" s="304"/>
      <c r="H38" s="305"/>
      <c r="I38" s="306"/>
      <c r="J38" s="307"/>
      <c r="K38" s="308"/>
      <c r="L38" s="307">
        <f>IF(NOT(ISERROR(MATCH(K38,_xlfn.ANCHORARRAY(G49),0))),J51&amp;"Por favor no seleccionar los criterios de impacto",K38)</f>
        <v>0</v>
      </c>
      <c r="M38" s="306"/>
      <c r="N38" s="307"/>
      <c r="O38" s="309"/>
      <c r="P38" s="168">
        <v>3</v>
      </c>
      <c r="Q38" s="129" t="s">
        <v>174</v>
      </c>
      <c r="R38" s="169" t="str">
        <f t="shared" ref="R38:R41" si="64">IF(OR(S38="Preventivo",S38="Detectivo"),"Probabilidad",IF(S38="Correctivo","Impacto",""))</f>
        <v>Probabilidad</v>
      </c>
      <c r="S38" s="170" t="s">
        <v>133</v>
      </c>
      <c r="T38" s="170" t="s">
        <v>113</v>
      </c>
      <c r="U38" s="171" t="str">
        <f t="shared" si="60"/>
        <v>30%</v>
      </c>
      <c r="V38" s="170" t="s">
        <v>119</v>
      </c>
      <c r="W38" s="170" t="s">
        <v>115</v>
      </c>
      <c r="X38" s="170" t="s">
        <v>134</v>
      </c>
      <c r="Y38" s="172">
        <f>IFERROR(IF(AND(R37="Probabilidad",R38="Probabilidad"),(AA37-(+AA37*U38)),IF(AND(R37="Impacto",R38="Probabilidad"),(AA36-(+AA36*U38)),IF(R38="Impacto",AA37,""))),"")</f>
        <v>5.8799999999999991E-2</v>
      </c>
      <c r="Z38" s="173" t="str">
        <f t="shared" si="61"/>
        <v>Rara vez</v>
      </c>
      <c r="AA38" s="171">
        <f t="shared" si="62"/>
        <v>5.8799999999999991E-2</v>
      </c>
      <c r="AB38" s="173" t="str">
        <f t="shared" si="63"/>
        <v>Catastrófico</v>
      </c>
      <c r="AC38" s="171">
        <f>IFERROR(IF(AND(R37="Impacto",R38="Impacto"),(AC37-(+AC37*U38)),IF(AND(R37="Probabilidad",R38="Impacto"),(AC36-(+AC36*U38)),IF(R38="Probabilidad",AC37,""))),"")</f>
        <v>1</v>
      </c>
      <c r="AD38" s="174" t="str">
        <f t="shared" si="51"/>
        <v>Extremo</v>
      </c>
      <c r="AE38" s="196"/>
      <c r="AF38" s="184"/>
      <c r="AG38" s="185"/>
      <c r="AH38" s="186"/>
      <c r="AI38" s="187"/>
      <c r="AJ38" s="188"/>
      <c r="AK38" s="523"/>
      <c r="AL38" s="535"/>
      <c r="AM38" s="535"/>
      <c r="AN38" s="535"/>
      <c r="AO38" s="535"/>
      <c r="AP38" s="535"/>
      <c r="AQ38" s="535"/>
      <c r="AR38" s="535"/>
      <c r="AS38" s="158"/>
      <c r="AT38" s="158"/>
      <c r="AU38" s="158"/>
      <c r="AV38" s="158"/>
      <c r="AW38" s="158"/>
      <c r="AX38" s="158"/>
      <c r="AY38" s="158"/>
      <c r="AZ38" s="158"/>
      <c r="BA38" s="158"/>
      <c r="BB38" s="158"/>
      <c r="BC38" s="158"/>
      <c r="BD38" s="158"/>
      <c r="BE38" s="158"/>
      <c r="BF38" s="158"/>
      <c r="BG38" s="158"/>
      <c r="BH38" s="158"/>
      <c r="BI38" s="158"/>
      <c r="BJ38" s="158"/>
    </row>
    <row r="39" spans="2:62" ht="76.5" x14ac:dyDescent="0.2">
      <c r="B39" s="314"/>
      <c r="C39" s="324"/>
      <c r="D39" s="317"/>
      <c r="E39" s="313"/>
      <c r="F39" s="313"/>
      <c r="G39" s="304"/>
      <c r="H39" s="305"/>
      <c r="I39" s="306"/>
      <c r="J39" s="307"/>
      <c r="K39" s="308"/>
      <c r="L39" s="307">
        <f>IF(NOT(ISERROR(MATCH(K39,_xlfn.ANCHORARRAY(G50),0))),J52&amp;"Por favor no seleccionar los criterios de impacto",K39)</f>
        <v>0</v>
      </c>
      <c r="M39" s="306"/>
      <c r="N39" s="307"/>
      <c r="O39" s="309"/>
      <c r="P39" s="168">
        <v>4</v>
      </c>
      <c r="Q39" s="129" t="s">
        <v>175</v>
      </c>
      <c r="R39" s="169" t="str">
        <f t="shared" si="64"/>
        <v>Impacto</v>
      </c>
      <c r="S39" s="182" t="s">
        <v>137</v>
      </c>
      <c r="T39" s="170" t="s">
        <v>113</v>
      </c>
      <c r="U39" s="171" t="str">
        <f t="shared" si="60"/>
        <v>25%</v>
      </c>
      <c r="V39" s="170" t="s">
        <v>114</v>
      </c>
      <c r="W39" s="170" t="s">
        <v>115</v>
      </c>
      <c r="X39" s="170" t="s">
        <v>116</v>
      </c>
      <c r="Y39" s="172">
        <f t="shared" ref="Y39:Y41" si="65">IFERROR(IF(AND(R38="Probabilidad",R39="Probabilidad"),(AA38-(+AA38*U39)),IF(AND(R38="Impacto",R39="Probabilidad"),(AA37-(+AA37*U39)),IF(R39="Impacto",AA38,""))),"")</f>
        <v>5.8799999999999991E-2</v>
      </c>
      <c r="Z39" s="197" t="s">
        <v>156</v>
      </c>
      <c r="AA39" s="171">
        <f t="shared" si="62"/>
        <v>5.8799999999999991E-2</v>
      </c>
      <c r="AB39" s="173" t="str">
        <f t="shared" ref="AB39" si="66">IFERROR(IF(AC39="","",IF(AC39&lt;=0.2,"Leve",IF(AC39&lt;=0.4,"Menor",IF(AC39&lt;=0.6,"Moderado",IF(AC39&lt;=0.8,"Mayor","Catastrófico"))))),"")</f>
        <v>Mayor</v>
      </c>
      <c r="AC39" s="171">
        <f t="shared" ref="AC39:AC41" si="67">IFERROR(IF(AND(R38="Impacto",R39="Impacto"),(AC38-(+AC38*U39)),IF(AND(R38="Probabilidad",R39="Impacto"),(AC37-(+AC37*U39)),IF(R39="Probabilidad",AC38,""))),"")</f>
        <v>0.75</v>
      </c>
      <c r="AD39" s="174" t="str">
        <f t="shared" si="51"/>
        <v>Alto</v>
      </c>
      <c r="AE39" s="170" t="s">
        <v>120</v>
      </c>
      <c r="AF39" s="133" t="s">
        <v>176</v>
      </c>
      <c r="AG39" s="133" t="s">
        <v>177</v>
      </c>
      <c r="AH39" s="199">
        <v>45807</v>
      </c>
      <c r="AI39" s="176"/>
      <c r="AJ39" s="177"/>
      <c r="AK39" s="523" t="s">
        <v>123</v>
      </c>
      <c r="AL39" s="535"/>
      <c r="AM39" s="535"/>
      <c r="AN39" s="535"/>
      <c r="AO39" s="535"/>
      <c r="AP39" s="535"/>
      <c r="AQ39" s="535"/>
      <c r="AR39" s="535"/>
      <c r="AS39" s="158"/>
      <c r="AT39" s="158"/>
      <c r="AU39" s="158"/>
      <c r="AV39" s="158"/>
      <c r="AW39" s="158"/>
      <c r="AX39" s="158"/>
      <c r="AY39" s="158"/>
      <c r="AZ39" s="158"/>
      <c r="BA39" s="158"/>
      <c r="BB39" s="158"/>
      <c r="BC39" s="158"/>
      <c r="BD39" s="158"/>
      <c r="BE39" s="158"/>
      <c r="BF39" s="158"/>
      <c r="BG39" s="158"/>
      <c r="BH39" s="158"/>
      <c r="BI39" s="158"/>
      <c r="BJ39" s="158"/>
    </row>
    <row r="40" spans="2:62" x14ac:dyDescent="0.2">
      <c r="B40" s="314"/>
      <c r="C40" s="324"/>
      <c r="D40" s="317"/>
      <c r="E40" s="313"/>
      <c r="F40" s="313"/>
      <c r="G40" s="304"/>
      <c r="H40" s="305"/>
      <c r="I40" s="306"/>
      <c r="J40" s="307"/>
      <c r="K40" s="308"/>
      <c r="L40" s="307">
        <f>IF(NOT(ISERROR(MATCH(K40,_xlfn.ANCHORARRAY(G51),0))),J53&amp;"Por favor no seleccionar los criterios de impacto",K40)</f>
        <v>0</v>
      </c>
      <c r="M40" s="306"/>
      <c r="N40" s="307"/>
      <c r="O40" s="309"/>
      <c r="P40" s="168">
        <v>5</v>
      </c>
      <c r="Q40" s="127"/>
      <c r="R40" s="169" t="str">
        <f t="shared" si="64"/>
        <v/>
      </c>
      <c r="S40" s="170"/>
      <c r="T40" s="170"/>
      <c r="U40" s="171" t="str">
        <f t="shared" si="60"/>
        <v/>
      </c>
      <c r="V40" s="170"/>
      <c r="W40" s="170"/>
      <c r="X40" s="170"/>
      <c r="Y40" s="172" t="str">
        <f t="shared" si="65"/>
        <v/>
      </c>
      <c r="Z40" s="173" t="str">
        <f t="shared" ref="Z40:Z41" si="68">IFERROR(IF(Y40="","",IF(Y40&lt;=0.2,"Rara vez",IF(Y40&lt;=0.4,"Improbable",IF(Y40&lt;=0.6,"Posible",IF(Y40&lt;=0.8,"Probable","Casi Seguro"))))),"")</f>
        <v/>
      </c>
      <c r="AA40" s="171" t="str">
        <f t="shared" si="62"/>
        <v/>
      </c>
      <c r="AB40" s="173" t="str">
        <f t="shared" ref="AB40:AB41" si="69">IFERROR(IF(AC40="","",IF(AC40&lt;=0.6,"Moderado",IF(AC40&lt;=0.8,"Mayor","Catastrófico"))),"")</f>
        <v/>
      </c>
      <c r="AC40" s="171" t="str">
        <f t="shared" si="67"/>
        <v/>
      </c>
      <c r="AD40" s="174" t="str">
        <f t="shared" ref="AD40:AD41" si="70">IFERROR(IF(OR(AND(Z40="Muy Baja",AB40="Leve"),AND(Z40="Muy Baja",AB40="Menor"),AND(Z40="Baja",AB40="Leve")),"Bajo",IF(OR(AND(Z40="Muy baja",AB40="Moderado"),AND(Z40="Baja",AB40="Menor"),AND(Z40="Baja",AB40="Moderado"),AND(Z40="Media",AB40="Leve"),AND(Z40="Media",AB40="Menor"),AND(Z40="Media",AB40="Moderado"),AND(Z40="Alta",AB40="Leve"),AND(Z40="Alta",AB40="Menor")),"Moderado",IF(OR(AND(Z40="Muy Baja",AB40="Mayor"),AND(Z40="Baja",AB40="Mayor"),AND(Z40="Media",AB40="Mayor"),AND(Z40="Alta",AB40="Moderado"),AND(Z40="Alta",AB40="Mayor"),AND(Z40="Muy Alta",AB40="Leve"),AND(Z40="Muy Alta",AB40="Menor"),AND(Z40="Muy Alta",AB40="Moderado"),AND(Z40="Muy Alta",AB40="Mayor")),"Alto",IF(OR(AND(Z40="Muy Baja",AB40="Catastrófico"),AND(Z40="Baja",AB40="Catastrófico"),AND(Z40="Media",AB40="Catastrófico"),AND(Z40="Alta",AB40="Catastrófico"),AND(Z40="Muy Alta",AB40="Catastrófico")),"Extremo","")))),"")</f>
        <v/>
      </c>
      <c r="AE40" s="179"/>
      <c r="AF40" s="192"/>
      <c r="AG40" s="193"/>
      <c r="AH40" s="176"/>
      <c r="AI40" s="176"/>
      <c r="AJ40" s="177"/>
      <c r="AK40" s="522"/>
      <c r="AL40" s="535"/>
      <c r="AM40" s="535"/>
      <c r="AN40" s="535"/>
      <c r="AO40" s="535"/>
      <c r="AP40" s="535"/>
      <c r="AQ40" s="535"/>
      <c r="AR40" s="535"/>
      <c r="AS40" s="158"/>
      <c r="AT40" s="158"/>
      <c r="AU40" s="158"/>
      <c r="AV40" s="158"/>
      <c r="AW40" s="158"/>
      <c r="AX40" s="158"/>
      <c r="AY40" s="158"/>
      <c r="AZ40" s="158"/>
      <c r="BA40" s="158"/>
      <c r="BB40" s="158"/>
      <c r="BC40" s="158"/>
      <c r="BD40" s="158"/>
      <c r="BE40" s="158"/>
      <c r="BF40" s="158"/>
      <c r="BG40" s="158"/>
      <c r="BH40" s="158"/>
      <c r="BI40" s="158"/>
      <c r="BJ40" s="158"/>
    </row>
    <row r="41" spans="2:62" ht="20.25" customHeight="1" x14ac:dyDescent="0.2">
      <c r="B41" s="314"/>
      <c r="C41" s="324"/>
      <c r="D41" s="317"/>
      <c r="E41" s="313"/>
      <c r="F41" s="313"/>
      <c r="G41" s="304"/>
      <c r="H41" s="305"/>
      <c r="I41" s="306"/>
      <c r="J41" s="307"/>
      <c r="K41" s="308"/>
      <c r="L41" s="307">
        <f>IF(NOT(ISERROR(MATCH(K41,_xlfn.ANCHORARRAY(G52),0))),J54&amp;"Por favor no seleccionar los criterios de impacto",K41)</f>
        <v>0</v>
      </c>
      <c r="M41" s="306"/>
      <c r="N41" s="307"/>
      <c r="O41" s="309"/>
      <c r="P41" s="168">
        <v>6</v>
      </c>
      <c r="Q41" s="127"/>
      <c r="R41" s="169" t="str">
        <f t="shared" si="64"/>
        <v/>
      </c>
      <c r="S41" s="170"/>
      <c r="T41" s="170"/>
      <c r="U41" s="171" t="str">
        <f t="shared" si="60"/>
        <v/>
      </c>
      <c r="V41" s="170"/>
      <c r="W41" s="170"/>
      <c r="X41" s="170"/>
      <c r="Y41" s="172" t="str">
        <f t="shared" si="65"/>
        <v/>
      </c>
      <c r="Z41" s="173" t="str">
        <f t="shared" si="68"/>
        <v/>
      </c>
      <c r="AA41" s="171" t="str">
        <f t="shared" si="62"/>
        <v/>
      </c>
      <c r="AB41" s="173" t="str">
        <f t="shared" si="69"/>
        <v/>
      </c>
      <c r="AC41" s="171" t="str">
        <f t="shared" si="67"/>
        <v/>
      </c>
      <c r="AD41" s="174" t="str">
        <f t="shared" si="70"/>
        <v/>
      </c>
      <c r="AE41" s="179"/>
      <c r="AF41" s="192"/>
      <c r="AG41" s="193"/>
      <c r="AH41" s="176"/>
      <c r="AI41" s="176"/>
      <c r="AJ41" s="177"/>
      <c r="AK41" s="522"/>
      <c r="AL41" s="535"/>
      <c r="AM41" s="535"/>
      <c r="AN41" s="535"/>
      <c r="AO41" s="535"/>
      <c r="AP41" s="535"/>
      <c r="AQ41" s="535"/>
      <c r="AR41" s="535"/>
      <c r="AS41" s="158"/>
      <c r="AT41" s="158"/>
      <c r="AU41" s="158"/>
      <c r="AV41" s="158"/>
      <c r="AW41" s="158"/>
      <c r="AX41" s="158"/>
      <c r="AY41" s="158"/>
      <c r="AZ41" s="158"/>
      <c r="BA41" s="158"/>
      <c r="BB41" s="158"/>
      <c r="BC41" s="158"/>
      <c r="BD41" s="158"/>
      <c r="BE41" s="158"/>
      <c r="BF41" s="158"/>
      <c r="BG41" s="158"/>
      <c r="BH41" s="158"/>
      <c r="BI41" s="158"/>
      <c r="BJ41" s="158"/>
    </row>
    <row r="42" spans="2:62" s="163" customFormat="1" ht="69" customHeight="1" x14ac:dyDescent="0.25">
      <c r="B42" s="314" t="s">
        <v>178</v>
      </c>
      <c r="C42" s="324" t="s">
        <v>161</v>
      </c>
      <c r="D42" s="317" t="s">
        <v>179</v>
      </c>
      <c r="E42" s="313" t="s">
        <v>127</v>
      </c>
      <c r="F42" s="315" t="s">
        <v>180</v>
      </c>
      <c r="G42" s="304" t="s">
        <v>171</v>
      </c>
      <c r="H42" s="305" t="s">
        <v>181</v>
      </c>
      <c r="I42" s="306" t="str">
        <f>IF(H42&lt;=0,"",IF(H42="No se ha presentado en los últimos 5 años","Rara vez",IF(H42="Al menos 1 vez en los últimos 5 años","Improbable",IF(H42="Al menos 1 vez en los últimos 2 años","Posible",IF(H42="Al menos 1 vez en el último año","Probable",IF(H42="Más de 1 vez al año","Casi Seguro"))))))</f>
        <v>Probable</v>
      </c>
      <c r="J42" s="307">
        <f>IF(I42="","",IF(I42="Rara vez",0.2,IF(I42="Improbable",0.4,IF(I42="Posible",0.6,IF(I42="Probable",0.8,IF(I42="Casi Seguro",1,))))))</f>
        <v>0.8</v>
      </c>
      <c r="K42" s="308" t="s">
        <v>110</v>
      </c>
      <c r="L42" s="307" t="str">
        <f>IF(NOT(ISERROR(MATCH(K42,'Tabla Impacto'!$B$220:$B$222,0))),'Tabla Impacto'!$F$222&amp;"Por favor no seleccionar los criterios de impacto(Criterios para calificar el impacto)",K42)</f>
        <v>Responder afirmativamente de SEIS a ONCE</v>
      </c>
      <c r="M42" s="306" t="str">
        <f>IF(OR(L42='Tabla Impacto'!$C$5),"Moderado",IF(OR(L42='Tabla Impacto'!$C$6),"Mayor",IF(OR(L42='Tabla Impacto'!$C$7),"Catastrófico","")))</f>
        <v>Mayor</v>
      </c>
      <c r="N42" s="307">
        <f>IF(M42="","",IF(M42="Leve",0.2,IF(M42="Menor",0.4,IF(M42="Moderado",0.6,IF(M42="Mayor",0.8,IF(M42="Catastrófico",1,))))))</f>
        <v>0.8</v>
      </c>
      <c r="O42" s="309" t="str">
        <f>IF(OR(AND(I42="Rara vez",M42="Leve"),AND(I42="Rara vez",M42="Menor"),AND(I42="Improbable",M42="Leve")),"Bajo",IF(OR(AND(I42="Rara vez",M42="Moderado"),AND(I42="Improbable",M42="Menor"),AND(I42="Improbable",M42="Moderado"),AND(I42="Posible",M42="Leve"),AND(I42="Posible",M42="Menor"),AND(I42="Posible",M42="Moderado"),AND(I42="Probable",M42="Leve"),AND(I42="Probable",M42="Menor")),"Moderado",IF(OR(AND(I42="Rara vez",M42="Mayor"),AND(I42="Improbable",M42="Mayor"),AND(I42="Posible",M42="Mayor"),AND(I42="Probable",M42="Moderado"),AND(I42="Probable",M42="Mayor"),AND(I42="Casi Seguro",M42="Leve"),AND(I42="Casi Seguro",M42="Menor"),AND(I42="Casi Seguro",M42="Moderado"),AND(I42="Casi Seguro",M42="Mayor")),"Alto",IF(OR(AND(I42="Rara vez",M42="Catastrófico"),AND(I42="Improbable",M42="Catastrófico"),AND(I42="Posible",M42="Catastrófico"),AND(I42="Probable",M42="Catastrófico"),AND(I42="Casi Seguro",M42="Catastrófico")),"Extremo",""))))</f>
        <v>Alto</v>
      </c>
      <c r="P42" s="168">
        <v>1</v>
      </c>
      <c r="Q42" s="128" t="s">
        <v>182</v>
      </c>
      <c r="R42" s="169" t="str">
        <f>IF(OR(S42="Preventivo",S42="Detectivo"),"Probabilidad",IF(S42="Correctivo","Impacto",""))</f>
        <v>Probabilidad</v>
      </c>
      <c r="S42" s="170" t="s">
        <v>112</v>
      </c>
      <c r="T42" s="170" t="s">
        <v>113</v>
      </c>
      <c r="U42" s="171" t="str">
        <f>IF(AND(S42="Preventivo",T42="Automático"),"50%",IF(AND(S42="Preventivo",T42="Manual"),"40%",IF(AND(S42="Detectivo",T42="Automático"),"40%",IF(AND(S42="Detectivo",T42="Manual"),"30%",IF(AND(S42="Correctivo",T42="Automático"),"35%",IF(AND(S42="Correctivo",T42="Manual"),"25%",""))))))</f>
        <v>40%</v>
      </c>
      <c r="V42" s="170" t="s">
        <v>114</v>
      </c>
      <c r="W42" s="170" t="s">
        <v>115</v>
      </c>
      <c r="X42" s="170" t="s">
        <v>134</v>
      </c>
      <c r="Y42" s="172">
        <f>IFERROR(IF(R42="Probabilidad",(J42-(+J42*U42)),IF(R42="Impacto",J42,"")),"")</f>
        <v>0.48</v>
      </c>
      <c r="Z42" s="173" t="str">
        <f>IFERROR(IF(Y42="","",IF(Y42&lt;=0.2,"Rara vez",IF(Y42&lt;=0.4,"Improbable",IF(Y42&lt;=0.6,"Posible",IF(Y42&lt;=0.8,"Probable","Casi Seguro"))))),"")</f>
        <v>Posible</v>
      </c>
      <c r="AA42" s="171">
        <f>+Y42</f>
        <v>0.48</v>
      </c>
      <c r="AB42" s="173" t="str">
        <f>IFERROR(IF(AC42="","",IF(AC42&lt;=0.6,"Moderado",IF(AC42&lt;=0.8,"Mayor","Catastrófico"))),"")</f>
        <v>Mayor</v>
      </c>
      <c r="AC42" s="171">
        <f>IFERROR(IF(R42="Impacto",(N42-(+N42*U42)),IF(R42="Probabilidad",N42,"")),"")</f>
        <v>0.8</v>
      </c>
      <c r="AD42" s="174" t="str">
        <f>IFERROR(IF(OR(AND(Z42="Rara vez",AB42="Leve"),AND(Z42="Rara vez",AB42="Menor"),AND(Z42="Improbable",AB42="Leve")),"Bajo",IF(OR(AND(Z42="Rara vez",AB42="Moderado"),AND(Z42="Improbable",AB42="Menor"),AND(Z42="Improbable",AB42="Moderado"),AND(Z42="Posible",AB42="Leve"),AND(Z42="Posible",AB42="Menor"),AND(Z42="Posible",AB42="Moderado"),AND(Z42="Probable",AB42="Leve"),AND(Z42="Probable",AB42="Menor")),"Moderado",IF(OR(AND(Z42="Rara vez",AB42="Mayor"),AND(Z42="Improbable",AB42="Mayor"),AND(Z42="Posible",AB42="Mayor"),AND(Z42="Probable",AB42="Moderado"),AND(Z42="Probable",AB42="Mayor"),AND(Z42="Casi Seguro",AB42="Leve"),AND(Z42="Casi Seguro",AB42="Menor"),AND(Z42="Casi Seguro",AB42="Moderado"),AND(Z42="Casi Seguro",AB42="Mayor")),"Alto",IF(OR(AND(Z42="Rara vez",AB42="Catastrófico"),AND(Z42="Improbable",AB42="Catastrófico"),AND(Z42="Posible",AB42="Catastrófico"),AND(Z42="Probable",AB42="Catastrófico"),AND(Z42="Casi Seguro",AB42="Catastrófico")),"Extremo","")))),"")</f>
        <v>Alto</v>
      </c>
      <c r="AE42" s="170"/>
      <c r="AF42" s="123"/>
      <c r="AG42" s="123"/>
      <c r="AH42" s="175"/>
      <c r="AI42" s="176"/>
      <c r="AJ42" s="177"/>
      <c r="AK42" s="522"/>
      <c r="AL42" s="534"/>
      <c r="AM42" s="534"/>
      <c r="AN42" s="534"/>
      <c r="AO42" s="534"/>
      <c r="AP42" s="534"/>
      <c r="AQ42" s="534"/>
      <c r="AR42" s="534"/>
      <c r="AS42" s="178"/>
      <c r="AT42" s="178"/>
      <c r="AU42" s="178"/>
      <c r="AV42" s="178"/>
      <c r="AW42" s="178"/>
      <c r="AX42" s="178"/>
      <c r="AY42" s="178"/>
      <c r="AZ42" s="178"/>
      <c r="BA42" s="178"/>
      <c r="BB42" s="178"/>
      <c r="BC42" s="178"/>
      <c r="BD42" s="178"/>
      <c r="BE42" s="178"/>
      <c r="BF42" s="178"/>
      <c r="BG42" s="178"/>
      <c r="BH42" s="178"/>
      <c r="BI42" s="178"/>
      <c r="BJ42" s="178"/>
    </row>
    <row r="43" spans="2:62" ht="75.75" customHeight="1" x14ac:dyDescent="0.2">
      <c r="B43" s="314"/>
      <c r="C43" s="324"/>
      <c r="D43" s="317"/>
      <c r="E43" s="313"/>
      <c r="F43" s="316"/>
      <c r="G43" s="304"/>
      <c r="H43" s="305"/>
      <c r="I43" s="306"/>
      <c r="J43" s="307"/>
      <c r="K43" s="308"/>
      <c r="L43" s="307">
        <f>IF(NOT(ISERROR(MATCH(K43,_xlfn.ANCHORARRAY(G54),0))),J56&amp;"Por favor no seleccionar los criterios de impacto",K43)</f>
        <v>0</v>
      </c>
      <c r="M43" s="306"/>
      <c r="N43" s="307"/>
      <c r="O43" s="309"/>
      <c r="P43" s="168">
        <v>2</v>
      </c>
      <c r="Q43" s="128" t="s">
        <v>183</v>
      </c>
      <c r="R43" s="169" t="s">
        <v>136</v>
      </c>
      <c r="S43" s="182" t="s">
        <v>137</v>
      </c>
      <c r="T43" s="170" t="s">
        <v>113</v>
      </c>
      <c r="U43" s="171" t="str">
        <f t="shared" ref="U43:U47" si="71">IF(AND(S43="Preventivo",T43="Automático"),"50%",IF(AND(S43="Preventivo",T43="Manual"),"40%",IF(AND(S43="Detectivo",T43="Automático"),"40%",IF(AND(S43="Detectivo",T43="Manual"),"30%",IF(AND(S43="Correctivo",T43="Automático"),"35%",IF(AND(S43="Correctivo",T43="Manual"),"25%",""))))))</f>
        <v>25%</v>
      </c>
      <c r="V43" s="170" t="s">
        <v>119</v>
      </c>
      <c r="W43" s="170" t="s">
        <v>115</v>
      </c>
      <c r="X43" s="170" t="s">
        <v>116</v>
      </c>
      <c r="Y43" s="172">
        <f>IFERROR(IF(AND(R42="Probabilidad",R43="Probabilidad"),(AA42-(+AA42*U43)),IF(R43="Probabilidad",(J42-(+J42*U43)),IF(R43="Impacto",AA42,""))),"")</f>
        <v>0.48</v>
      </c>
      <c r="Z43" s="173" t="str">
        <f t="shared" ref="Z43" si="72">IFERROR(IF(Y43="","",IF(Y43&lt;=0.2,"Rara vez",IF(Y43&lt;=0.4,"Improbable",IF(Y43&lt;=0.6,"Posible",IF(Y43&lt;=0.8,"Probable","Casi Seguro"))))),"")</f>
        <v>Posible</v>
      </c>
      <c r="AA43" s="171">
        <f t="shared" ref="AA43:AA47" si="73">+Y43</f>
        <v>0.48</v>
      </c>
      <c r="AB43" s="173" t="str">
        <f t="shared" ref="AB43" si="74">IFERROR(IF(AC43="","",IF(AC43&lt;=0.6,"Moderado",IF(AC43&lt;=0.8,"Mayor","Catastrófico"))),"")</f>
        <v>Moderado</v>
      </c>
      <c r="AC43" s="171">
        <f>IFERROR(IF(AND(R42="Impacto",R43="Impacto"),(AC42-(+AC42*U43)),IF(R43="Impacto",(N42-(+N42*U43)),IF(R43="Probabilidad",AC42,""))),"")</f>
        <v>0.60000000000000009</v>
      </c>
      <c r="AD43" s="174" t="str">
        <f>IFERROR(IF(OR(AND(Z43="Rara vez",AB43="Leve"),AND(Z43="Rara vez",AB43="Menor"),AND(Z43="Improbable",AB43="Leve")),"Bajo",IF(OR(AND(Z43="Rara vez",AB43="Moderado"),AND(Z43="Improbable",AB43="Menor"),AND(Z43="Improbable",AB43="Moderado"),AND(Z43="Posible",AB43="Leve"),AND(Z43="Posible",AB43="Menor"),AND(Z43="Posible",AB43="Moderado"),AND(Z43="Probable",AB43="Leve"),AND(Z43="Probable",AB43="Menor")),"Moderado",IF(OR(AND(Z43="Rara vez",AB43="Mayor"),AND(Z43="Improbable",AB43="Mayor"),AND(Z43="Posible",AB43="Mayor"),AND(Z43="Probable",AB43="Moderado"),AND(Z43="Probable",AB43="Mayor"),AND(Z43="Casi Seguro",AB43="Leve"),AND(Z43="Casi Seguro",AB43="Menor"),AND(Z43="Casi Seguro",AB43="Moderado"),AND(Z43="Casi Seguro",AB43="Mayor")),"Alto",IF(OR(AND(Z43="Rara vez",AB43="Catastrófico"),AND(Z43="Improbable",AB43="Catastrófico"),AND(Z43="Posible",AB43="Catastrófico"),AND(Z43="Probable",AB43="Catastrófico"),AND(Z43="Casi Seguro",AB43="Catastrófico")),"Extremo","")))),"")</f>
        <v>Moderado</v>
      </c>
      <c r="AE43" s="170"/>
      <c r="AF43" s="132"/>
      <c r="AG43" s="194"/>
      <c r="AH43" s="195"/>
      <c r="AI43" s="176"/>
      <c r="AJ43" s="181"/>
      <c r="AK43" s="522"/>
      <c r="AL43" s="535"/>
      <c r="AM43" s="535"/>
      <c r="AN43" s="535"/>
      <c r="AO43" s="535"/>
      <c r="AP43" s="535"/>
      <c r="AQ43" s="535"/>
      <c r="AR43" s="535"/>
      <c r="AS43" s="158"/>
      <c r="AT43" s="158"/>
      <c r="AU43" s="158"/>
      <c r="AV43" s="158"/>
      <c r="AW43" s="158"/>
      <c r="AX43" s="158"/>
      <c r="AY43" s="158"/>
      <c r="AZ43" s="158"/>
      <c r="BA43" s="158"/>
      <c r="BB43" s="158"/>
      <c r="BC43" s="158"/>
      <c r="BD43" s="158"/>
      <c r="BE43" s="158"/>
      <c r="BF43" s="158"/>
      <c r="BG43" s="158"/>
      <c r="BH43" s="158"/>
      <c r="BI43" s="158"/>
      <c r="BJ43" s="158"/>
    </row>
    <row r="44" spans="2:62" x14ac:dyDescent="0.2">
      <c r="B44" s="314"/>
      <c r="C44" s="324"/>
      <c r="D44" s="317"/>
      <c r="E44" s="313"/>
      <c r="F44" s="316"/>
      <c r="G44" s="304"/>
      <c r="H44" s="305"/>
      <c r="I44" s="306"/>
      <c r="J44" s="307"/>
      <c r="K44" s="308"/>
      <c r="L44" s="307">
        <f>IF(NOT(ISERROR(MATCH(K44,_xlfn.ANCHORARRAY(G55),0))),J57&amp;"Por favor no seleccionar los criterios de impacto",K44)</f>
        <v>0</v>
      </c>
      <c r="M44" s="306"/>
      <c r="N44" s="307"/>
      <c r="O44" s="309"/>
      <c r="P44" s="168">
        <v>3</v>
      </c>
      <c r="Q44" s="129"/>
      <c r="R44" s="169"/>
      <c r="S44" s="170"/>
      <c r="T44" s="170"/>
      <c r="U44" s="171"/>
      <c r="V44" s="170"/>
      <c r="W44" s="170"/>
      <c r="X44" s="170"/>
      <c r="Y44" s="172"/>
      <c r="Z44" s="173"/>
      <c r="AA44" s="171"/>
      <c r="AB44" s="173"/>
      <c r="AC44" s="171"/>
      <c r="AD44" s="174"/>
      <c r="AE44" s="196"/>
      <c r="AF44" s="184"/>
      <c r="AG44" s="185"/>
      <c r="AH44" s="186"/>
      <c r="AI44" s="187"/>
      <c r="AJ44" s="188"/>
      <c r="AK44" s="523"/>
      <c r="AL44" s="535"/>
      <c r="AM44" s="535"/>
      <c r="AN44" s="535"/>
      <c r="AO44" s="535"/>
      <c r="AP44" s="535"/>
      <c r="AQ44" s="535"/>
      <c r="AR44" s="535"/>
      <c r="AS44" s="158"/>
      <c r="AT44" s="158"/>
      <c r="AU44" s="158"/>
      <c r="AV44" s="158"/>
      <c r="AW44" s="158"/>
      <c r="AX44" s="158"/>
      <c r="AY44" s="158"/>
      <c r="AZ44" s="158"/>
      <c r="BA44" s="158"/>
      <c r="BB44" s="158"/>
      <c r="BC44" s="158"/>
      <c r="BD44" s="158"/>
      <c r="BE44" s="158"/>
      <c r="BF44" s="158"/>
      <c r="BG44" s="158"/>
      <c r="BH44" s="158"/>
      <c r="BI44" s="158"/>
      <c r="BJ44" s="158"/>
    </row>
    <row r="45" spans="2:62" x14ac:dyDescent="0.2">
      <c r="B45" s="314"/>
      <c r="C45" s="324"/>
      <c r="D45" s="317"/>
      <c r="E45" s="313"/>
      <c r="F45" s="316"/>
      <c r="G45" s="304"/>
      <c r="H45" s="305"/>
      <c r="I45" s="306"/>
      <c r="J45" s="307"/>
      <c r="K45" s="308"/>
      <c r="L45" s="307">
        <f>IF(NOT(ISERROR(MATCH(K45,_xlfn.ANCHORARRAY(G56),0))),J58&amp;"Por favor no seleccionar los criterios de impacto",K45)</f>
        <v>0</v>
      </c>
      <c r="M45" s="306"/>
      <c r="N45" s="307"/>
      <c r="O45" s="309"/>
      <c r="P45" s="168">
        <v>4</v>
      </c>
      <c r="Q45" s="129"/>
      <c r="R45" s="169"/>
      <c r="S45" s="182"/>
      <c r="T45" s="170"/>
      <c r="U45" s="171"/>
      <c r="V45" s="170"/>
      <c r="W45" s="170"/>
      <c r="X45" s="170"/>
      <c r="Y45" s="172"/>
      <c r="Z45" s="172"/>
      <c r="AA45" s="171"/>
      <c r="AB45" s="173"/>
      <c r="AC45" s="171"/>
      <c r="AD45" s="174"/>
      <c r="AE45" s="170"/>
      <c r="AF45" s="133"/>
      <c r="AG45" s="133"/>
      <c r="AH45" s="199"/>
      <c r="AI45" s="176"/>
      <c r="AJ45" s="177"/>
      <c r="AK45" s="523"/>
      <c r="AL45" s="535"/>
      <c r="AM45" s="535"/>
      <c r="AN45" s="535"/>
      <c r="AO45" s="535"/>
      <c r="AP45" s="535"/>
      <c r="AQ45" s="535"/>
      <c r="AR45" s="535"/>
      <c r="AS45" s="158"/>
      <c r="AT45" s="158"/>
      <c r="AU45" s="158"/>
      <c r="AV45" s="158"/>
      <c r="AW45" s="158"/>
      <c r="AX45" s="158"/>
      <c r="AY45" s="158"/>
      <c r="AZ45" s="158"/>
      <c r="BA45" s="158"/>
      <c r="BB45" s="158"/>
      <c r="BC45" s="158"/>
      <c r="BD45" s="158"/>
      <c r="BE45" s="158"/>
      <c r="BF45" s="158"/>
      <c r="BG45" s="158"/>
      <c r="BH45" s="158"/>
      <c r="BI45" s="158"/>
      <c r="BJ45" s="158"/>
    </row>
    <row r="46" spans="2:62" x14ac:dyDescent="0.2">
      <c r="B46" s="314"/>
      <c r="C46" s="324"/>
      <c r="D46" s="317"/>
      <c r="E46" s="313"/>
      <c r="F46" s="316"/>
      <c r="G46" s="304"/>
      <c r="H46" s="305"/>
      <c r="I46" s="306"/>
      <c r="J46" s="307"/>
      <c r="K46" s="308"/>
      <c r="L46" s="307">
        <f>IF(NOT(ISERROR(MATCH(K46,_xlfn.ANCHORARRAY(G57),0))),J59&amp;"Por favor no seleccionar los criterios de impacto",K46)</f>
        <v>0</v>
      </c>
      <c r="M46" s="306"/>
      <c r="N46" s="307"/>
      <c r="O46" s="309"/>
      <c r="P46" s="168">
        <v>5</v>
      </c>
      <c r="Q46" s="127"/>
      <c r="R46" s="169" t="str">
        <f t="shared" ref="R46:R47" si="75">IF(OR(S46="Preventivo",S46="Detectivo"),"Probabilidad",IF(S46="Correctivo","Impacto",""))</f>
        <v/>
      </c>
      <c r="S46" s="170"/>
      <c r="T46" s="170"/>
      <c r="U46" s="171" t="str">
        <f t="shared" si="71"/>
        <v/>
      </c>
      <c r="V46" s="170"/>
      <c r="W46" s="170"/>
      <c r="X46" s="170"/>
      <c r="Y46" s="172" t="str">
        <f t="shared" ref="Y46:Y47" si="76">IFERROR(IF(AND(R45="Probabilidad",R46="Probabilidad"),(AA45-(+AA45*U46)),IF(AND(R45="Impacto",R46="Probabilidad"),(AA44-(+AA44*U46)),IF(R46="Impacto",AA45,""))),"")</f>
        <v/>
      </c>
      <c r="Z46" s="173" t="str">
        <f t="shared" ref="Z46:Z47" si="77">IFERROR(IF(Y46="","",IF(Y46&lt;=0.2,"Rara vez",IF(Y46&lt;=0.4,"Improbable",IF(Y46&lt;=0.6,"Posible",IF(Y46&lt;=0.8,"Probable","Casi Seguro"))))),"")</f>
        <v/>
      </c>
      <c r="AA46" s="171" t="str">
        <f t="shared" si="73"/>
        <v/>
      </c>
      <c r="AB46" s="173" t="str">
        <f t="shared" ref="AB46:AB47" si="78">IFERROR(IF(AC46="","",IF(AC46&lt;=0.6,"Moderado",IF(AC46&lt;=0.8,"Mayor","Catastrófico"))),"")</f>
        <v/>
      </c>
      <c r="AC46" s="171" t="str">
        <f t="shared" ref="AC46:AC47" si="79">IFERROR(IF(AND(R45="Impacto",R46="Impacto"),(AC45-(+AC45*U46)),IF(AND(R45="Probabilidad",R46="Impacto"),(AC44-(+AC44*U46)),IF(R46="Probabilidad",AC45,""))),"")</f>
        <v/>
      </c>
      <c r="AD46" s="174" t="str">
        <f t="shared" ref="AD46:AD47" si="80">IFERROR(IF(OR(AND(Z46="Muy Baja",AB46="Leve"),AND(Z46="Muy Baja",AB46="Menor"),AND(Z46="Baja",AB46="Leve")),"Bajo",IF(OR(AND(Z46="Muy baja",AB46="Moderado"),AND(Z46="Baja",AB46="Menor"),AND(Z46="Baja",AB46="Moderado"),AND(Z46="Media",AB46="Leve"),AND(Z46="Media",AB46="Menor"),AND(Z46="Media",AB46="Moderado"),AND(Z46="Alta",AB46="Leve"),AND(Z46="Alta",AB46="Menor")),"Moderado",IF(OR(AND(Z46="Muy Baja",AB46="Mayor"),AND(Z46="Baja",AB46="Mayor"),AND(Z46="Media",AB46="Mayor"),AND(Z46="Alta",AB46="Moderado"),AND(Z46="Alta",AB46="Mayor"),AND(Z46="Muy Alta",AB46="Leve"),AND(Z46="Muy Alta",AB46="Menor"),AND(Z46="Muy Alta",AB46="Moderado"),AND(Z46="Muy Alta",AB46="Mayor")),"Alto",IF(OR(AND(Z46="Muy Baja",AB46="Catastrófico"),AND(Z46="Baja",AB46="Catastrófico"),AND(Z46="Media",AB46="Catastrófico"),AND(Z46="Alta",AB46="Catastrófico"),AND(Z46="Muy Alta",AB46="Catastrófico")),"Extremo","")))),"")</f>
        <v/>
      </c>
      <c r="AE46" s="179"/>
      <c r="AF46" s="192"/>
      <c r="AG46" s="193"/>
      <c r="AH46" s="176"/>
      <c r="AI46" s="176"/>
      <c r="AJ46" s="177"/>
      <c r="AK46" s="522"/>
      <c r="AL46" s="535"/>
      <c r="AM46" s="535"/>
      <c r="AN46" s="535"/>
      <c r="AO46" s="535"/>
      <c r="AP46" s="535"/>
      <c r="AQ46" s="535"/>
      <c r="AR46" s="535"/>
      <c r="AS46" s="158"/>
      <c r="AT46" s="158"/>
      <c r="AU46" s="158"/>
      <c r="AV46" s="158"/>
      <c r="AW46" s="158"/>
      <c r="AX46" s="158"/>
      <c r="AY46" s="158"/>
      <c r="AZ46" s="158"/>
      <c r="BA46" s="158"/>
      <c r="BB46" s="158"/>
      <c r="BC46" s="158"/>
      <c r="BD46" s="158"/>
      <c r="BE46" s="158"/>
      <c r="BF46" s="158"/>
      <c r="BG46" s="158"/>
      <c r="BH46" s="158"/>
      <c r="BI46" s="158"/>
      <c r="BJ46" s="158"/>
    </row>
    <row r="47" spans="2:62" ht="20.25" customHeight="1" x14ac:dyDescent="0.2">
      <c r="B47" s="314"/>
      <c r="C47" s="353"/>
      <c r="D47" s="317"/>
      <c r="E47" s="313"/>
      <c r="F47" s="320"/>
      <c r="G47" s="304"/>
      <c r="H47" s="305"/>
      <c r="I47" s="306"/>
      <c r="J47" s="307"/>
      <c r="K47" s="308"/>
      <c r="L47" s="307">
        <f>IF(NOT(ISERROR(MATCH(K47,_xlfn.ANCHORARRAY(G58),0))),J60&amp;"Por favor no seleccionar los criterios de impacto",K47)</f>
        <v>0</v>
      </c>
      <c r="M47" s="306"/>
      <c r="N47" s="307"/>
      <c r="O47" s="309"/>
      <c r="P47" s="168">
        <v>6</v>
      </c>
      <c r="Q47" s="127"/>
      <c r="R47" s="169" t="str">
        <f t="shared" si="75"/>
        <v/>
      </c>
      <c r="S47" s="170"/>
      <c r="T47" s="170"/>
      <c r="U47" s="171" t="str">
        <f t="shared" si="71"/>
        <v/>
      </c>
      <c r="V47" s="170"/>
      <c r="W47" s="170"/>
      <c r="X47" s="170"/>
      <c r="Y47" s="172" t="str">
        <f t="shared" si="76"/>
        <v/>
      </c>
      <c r="Z47" s="173" t="str">
        <f t="shared" si="77"/>
        <v/>
      </c>
      <c r="AA47" s="171" t="str">
        <f t="shared" si="73"/>
        <v/>
      </c>
      <c r="AB47" s="173" t="str">
        <f t="shared" si="78"/>
        <v/>
      </c>
      <c r="AC47" s="171" t="str">
        <f t="shared" si="79"/>
        <v/>
      </c>
      <c r="AD47" s="174" t="str">
        <f t="shared" si="80"/>
        <v/>
      </c>
      <c r="AE47" s="179"/>
      <c r="AF47" s="192"/>
      <c r="AG47" s="193"/>
      <c r="AH47" s="176"/>
      <c r="AI47" s="176"/>
      <c r="AJ47" s="177"/>
      <c r="AK47" s="522"/>
      <c r="AL47" s="535"/>
      <c r="AM47" s="535"/>
      <c r="AN47" s="535"/>
      <c r="AO47" s="535"/>
      <c r="AP47" s="535"/>
      <c r="AQ47" s="535"/>
      <c r="AR47" s="535"/>
      <c r="AS47" s="158"/>
      <c r="AT47" s="158"/>
      <c r="AU47" s="158"/>
      <c r="AV47" s="158"/>
      <c r="AW47" s="158"/>
      <c r="AX47" s="158"/>
      <c r="AY47" s="158"/>
      <c r="AZ47" s="158"/>
      <c r="BA47" s="158"/>
      <c r="BB47" s="158"/>
      <c r="BC47" s="158"/>
      <c r="BD47" s="158"/>
      <c r="BE47" s="158"/>
      <c r="BF47" s="158"/>
      <c r="BG47" s="158"/>
      <c r="BH47" s="158"/>
      <c r="BI47" s="158"/>
      <c r="BJ47" s="158"/>
    </row>
    <row r="48" spans="2:62" s="163" customFormat="1" ht="95.25" customHeight="1" x14ac:dyDescent="0.25">
      <c r="B48" s="310" t="s">
        <v>184</v>
      </c>
      <c r="C48" s="311" t="s">
        <v>161</v>
      </c>
      <c r="D48" s="312" t="s">
        <v>185</v>
      </c>
      <c r="E48" s="313" t="s">
        <v>106</v>
      </c>
      <c r="F48" s="315" t="s">
        <v>186</v>
      </c>
      <c r="G48" s="304" t="s">
        <v>187</v>
      </c>
      <c r="H48" s="305" t="s">
        <v>109</v>
      </c>
      <c r="I48" s="306" t="str">
        <f>IF(H48&lt;=0,"",IF(H48="No se ha presentado en los últimos 5 años","Rara vez",IF(H48="Al menos 1 vez en los últimos 5 años","Improbable",IF(H48="Al menos 1 vez en los últimos 2 años","Posible",IF(H48="Al menos 1 vez en el último año","Probable",IF(H48="Más de 1 vez al año","Casi Seguro"))))))</f>
        <v>Rara vez</v>
      </c>
      <c r="J48" s="307">
        <f>IF(I48="","",IF(I48="Rara vez",0.2,IF(I48="Improbable",0.4,IF(I48="Posible",0.6,IF(I48="Probable",0.8,IF(I48="Casi Seguro",1,))))))</f>
        <v>0.2</v>
      </c>
      <c r="K48" s="308" t="s">
        <v>131</v>
      </c>
      <c r="L48" s="307" t="str">
        <f>IF(NOT(ISERROR(MATCH(K48,'Tabla Impacto'!$B$220:$B$222,0))),'Tabla Impacto'!$F$222&amp;"Por favor no seleccionar los criterios de impacto(Criterios para calificar el impacto)",K48)</f>
        <v xml:space="preserve">Responder afirmativamente de DOCE a DIECINUEVE </v>
      </c>
      <c r="M48" s="306" t="str">
        <f>IF(OR(L48='Tabla Impacto'!$C$5),"Moderado",IF(OR(L48='Tabla Impacto'!$C$6),"Mayor",IF(OR(L48='Tabla Impacto'!$C$7),"Catastrófico","")))</f>
        <v>Catastrófico</v>
      </c>
      <c r="N48" s="307">
        <f>IF(M48="","",IF(M48="Leve",0.2,IF(M48="Menor",0.4,IF(M48="Moderado",0.6,IF(M48="Mayor",0.8,IF(M48="Catastrófico",1,))))))</f>
        <v>1</v>
      </c>
      <c r="O48" s="309" t="str">
        <f>IF(OR(AND(I48="Rara vez",M48="Leve"),AND(I48="Rara vez",M48="Menor"),AND(I48="Improbable",M48="Leve")),"Bajo",IF(OR(AND(I48="Rara vez",M48="Moderado"),AND(I48="Improbable",M48="Menor"),AND(I48="Improbable",M48="Moderado"),AND(I48="Posible",M48="Leve"),AND(I48="Posible",M48="Menor"),AND(I48="Posible",M48="Moderado"),AND(I48="Probable",M48="Leve"),AND(I48="Probable",M48="Menor")),"Moderado",IF(OR(AND(I48="Rara vez",M48="Mayor"),AND(I48="Improbable",M48="Mayor"),AND(I48="Posible",M48="Mayor"),AND(I48="Probable",M48="Moderado"),AND(I48="Probable",M48="Mayor"),AND(I48="Casi Seguro",M48="Leve"),AND(I48="Casi Seguro",M48="Menor"),AND(I48="Casi Seguro",M48="Moderado"),AND(I48="Casi Seguro",M48="Mayor")),"Alto",IF(OR(AND(I48="Rara vez",M48="Catastrófico"),AND(I48="Improbable",M48="Catastrófico"),AND(I48="Posible",M48="Catastrófico"),AND(I48="Probable",M48="Catastrófico"),AND(I48="Casi Seguro",M48="Catastrófico")),"Extremo",""))))</f>
        <v>Extremo</v>
      </c>
      <c r="P48" s="168">
        <v>1</v>
      </c>
      <c r="Q48" s="128" t="s">
        <v>188</v>
      </c>
      <c r="R48" s="169" t="str">
        <f>IF(OR(S48="Preventivo",S48="Detectivo"),"Probabilidad",IF(S48="Correctivo","Impacto",""))</f>
        <v>Probabilidad</v>
      </c>
      <c r="S48" s="170" t="s">
        <v>112</v>
      </c>
      <c r="T48" s="170" t="s">
        <v>113</v>
      </c>
      <c r="U48" s="171" t="str">
        <f>IF(AND(S48="Preventivo",T48="Automático"),"50%",IF(AND(S48="Preventivo",T48="Manual"),"40%",IF(AND(S48="Detectivo",T48="Automático"),"40%",IF(AND(S48="Detectivo",T48="Manual"),"30%",IF(AND(S48="Correctivo",T48="Automático"),"35%",IF(AND(S48="Correctivo",T48="Manual"),"25%",""))))))</f>
        <v>40%</v>
      </c>
      <c r="V48" s="170" t="s">
        <v>119</v>
      </c>
      <c r="W48" s="170" t="s">
        <v>115</v>
      </c>
      <c r="X48" s="170" t="s">
        <v>134</v>
      </c>
      <c r="Y48" s="172">
        <f>IFERROR(IF(R48="Probabilidad",(J48-(+J48*U48)),IF(R48="Impacto",J48,"")),"")</f>
        <v>0.12</v>
      </c>
      <c r="Z48" s="173" t="str">
        <f>IFERROR(IF(Y48="","",IF(Y48&lt;=0.2,"Rara vez",IF(Y48&lt;=0.4,"Improbable",IF(Y48&lt;=0.6,"Posible",IF(Y48&lt;=0.8,"Probable","Casi Seguro"))))),"")</f>
        <v>Rara vez</v>
      </c>
      <c r="AA48" s="171">
        <f>+Y48</f>
        <v>0.12</v>
      </c>
      <c r="AB48" s="173" t="str">
        <f>IFERROR(IF(AC48="","",IF(AC48&lt;=0.6,"Moderado",IF(AC48&lt;=0.8,"Mayor","Catastrófico"))),"")</f>
        <v>Catastrófico</v>
      </c>
      <c r="AC48" s="171">
        <f>IFERROR(IF(R48="Impacto",(N48-(+N48*U48)),IF(R48="Probabilidad",N48,"")),"")</f>
        <v>1</v>
      </c>
      <c r="AD48" s="174" t="str">
        <f>IFERROR(IF(OR(AND(Z48="Rara vez",AB48="Leve"),AND(Z48="Rara vez",AB48="Menor"),AND(Z48="Improbable",AB48="Leve")),"Bajo",IF(OR(AND(Z48="Rara vez",AB48="Moderado"),AND(Z48="Improbable",AB48="Menor"),AND(Z48="Improbable",AB48="Moderado"),AND(Z48="Posible",AB48="Leve"),AND(Z48="Posible",AB48="Menor"),AND(Z48="Posible",AB48="Moderado"),AND(Z48="Probable",AB48="Leve"),AND(Z48="Probable",AB48="Menor")),"Moderado",IF(OR(AND(Z48="Rara vez",AB48="Mayor"),AND(Z48="Improbable",AB48="Mayor"),AND(Z48="Posible",AB48="Mayor"),AND(Z48="Probable",AB48="Moderado"),AND(Z48="Probable",AB48="Mayor"),AND(Z48="Casi Seguro",AB48="Leve"),AND(Z48="Casi Seguro",AB48="Menor"),AND(Z48="Casi Seguro",AB48="Moderado"),AND(Z48="Casi Seguro",AB48="Mayor")),"Alto",IF(OR(AND(Z48="Rara vez",AB48="Catastrófico"),AND(Z48="Improbable",AB48="Catastrófico"),AND(Z48="Posible",AB48="Catastrófico"),AND(Z48="Probable",AB48="Catastrófico"),AND(Z48="Casi Seguro",AB48="Catastrófico")),"Extremo","")))),"")</f>
        <v>Extremo</v>
      </c>
      <c r="AE48" s="170" t="s">
        <v>120</v>
      </c>
      <c r="AF48" s="123"/>
      <c r="AG48" s="123"/>
      <c r="AH48" s="175"/>
      <c r="AI48" s="176"/>
      <c r="AJ48" s="177"/>
      <c r="AK48" s="522"/>
      <c r="AL48" s="534"/>
      <c r="AM48" s="534"/>
      <c r="AN48" s="534"/>
      <c r="AO48" s="534"/>
      <c r="AP48" s="534"/>
      <c r="AQ48" s="534"/>
      <c r="AR48" s="534"/>
      <c r="AS48" s="178"/>
      <c r="AT48" s="178"/>
      <c r="AU48" s="178"/>
      <c r="AV48" s="178"/>
      <c r="AW48" s="178"/>
      <c r="AX48" s="178"/>
      <c r="AY48" s="178"/>
      <c r="AZ48" s="178"/>
      <c r="BA48" s="178"/>
      <c r="BB48" s="178"/>
      <c r="BC48" s="178"/>
      <c r="BD48" s="178"/>
      <c r="BE48" s="178"/>
      <c r="BF48" s="178"/>
      <c r="BG48" s="178"/>
      <c r="BH48" s="178"/>
      <c r="BI48" s="178"/>
      <c r="BJ48" s="178"/>
    </row>
    <row r="49" spans="2:62" x14ac:dyDescent="0.2">
      <c r="B49" s="314"/>
      <c r="C49" s="354"/>
      <c r="D49" s="317"/>
      <c r="E49" s="313"/>
      <c r="F49" s="316"/>
      <c r="G49" s="304"/>
      <c r="H49" s="305"/>
      <c r="I49" s="306"/>
      <c r="J49" s="307"/>
      <c r="K49" s="308"/>
      <c r="L49" s="307">
        <f>IF(NOT(ISERROR(MATCH(K49,_xlfn.ANCHORARRAY(G60),0))),J62&amp;"Por favor no seleccionar los criterios de impacto",K49)</f>
        <v>0</v>
      </c>
      <c r="M49" s="306"/>
      <c r="N49" s="307"/>
      <c r="O49" s="309"/>
      <c r="P49" s="168"/>
      <c r="Q49" s="128"/>
      <c r="R49" s="169"/>
      <c r="S49" s="182"/>
      <c r="T49" s="170"/>
      <c r="U49" s="171"/>
      <c r="V49" s="170"/>
      <c r="W49" s="170"/>
      <c r="X49" s="170"/>
      <c r="Y49" s="172"/>
      <c r="Z49" s="173"/>
      <c r="AA49" s="171"/>
      <c r="AB49" s="173"/>
      <c r="AC49" s="171"/>
      <c r="AD49" s="174"/>
      <c r="AE49" s="170"/>
      <c r="AF49" s="132"/>
      <c r="AG49" s="194"/>
      <c r="AH49" s="195"/>
      <c r="AI49" s="176"/>
      <c r="AJ49" s="181"/>
      <c r="AK49" s="522"/>
      <c r="AL49" s="535"/>
      <c r="AM49" s="535"/>
      <c r="AN49" s="535"/>
      <c r="AO49" s="535"/>
      <c r="AP49" s="535"/>
      <c r="AQ49" s="535"/>
      <c r="AR49" s="535"/>
      <c r="AS49" s="158"/>
      <c r="AT49" s="158"/>
      <c r="AU49" s="158"/>
      <c r="AV49" s="158"/>
      <c r="AW49" s="158"/>
      <c r="AX49" s="158"/>
      <c r="AY49" s="158"/>
      <c r="AZ49" s="158"/>
      <c r="BA49" s="158"/>
      <c r="BB49" s="158"/>
      <c r="BC49" s="158"/>
      <c r="BD49" s="158"/>
      <c r="BE49" s="158"/>
      <c r="BF49" s="158"/>
      <c r="BG49" s="158"/>
      <c r="BH49" s="158"/>
      <c r="BI49" s="158"/>
      <c r="BJ49" s="158"/>
    </row>
    <row r="50" spans="2:62" x14ac:dyDescent="0.2">
      <c r="B50" s="314"/>
      <c r="C50" s="324"/>
      <c r="D50" s="317"/>
      <c r="E50" s="313"/>
      <c r="F50" s="316"/>
      <c r="G50" s="304"/>
      <c r="H50" s="305"/>
      <c r="I50" s="306"/>
      <c r="J50" s="307"/>
      <c r="K50" s="308"/>
      <c r="L50" s="307">
        <f>IF(NOT(ISERROR(MATCH(K50,_xlfn.ANCHORARRAY(G61),0))),J63&amp;"Por favor no seleccionar los criterios de impacto",K50)</f>
        <v>0</v>
      </c>
      <c r="M50" s="306"/>
      <c r="N50" s="307"/>
      <c r="O50" s="309"/>
      <c r="P50" s="168">
        <v>3</v>
      </c>
      <c r="Q50" s="129"/>
      <c r="R50" s="169"/>
      <c r="S50" s="170"/>
      <c r="T50" s="170"/>
      <c r="U50" s="171"/>
      <c r="V50" s="170"/>
      <c r="W50" s="170"/>
      <c r="X50" s="170"/>
      <c r="Y50" s="172"/>
      <c r="Z50" s="173"/>
      <c r="AA50" s="171"/>
      <c r="AB50" s="173"/>
      <c r="AC50" s="171"/>
      <c r="AD50" s="174"/>
      <c r="AE50" s="196"/>
      <c r="AF50" s="184"/>
      <c r="AG50" s="185"/>
      <c r="AH50" s="186"/>
      <c r="AI50" s="187"/>
      <c r="AJ50" s="188"/>
      <c r="AK50" s="523"/>
      <c r="AL50" s="535"/>
      <c r="AM50" s="535"/>
      <c r="AN50" s="535"/>
      <c r="AO50" s="535"/>
      <c r="AP50" s="535"/>
      <c r="AQ50" s="535"/>
      <c r="AR50" s="535"/>
      <c r="AS50" s="158"/>
      <c r="AT50" s="158"/>
      <c r="AU50" s="158"/>
      <c r="AV50" s="158"/>
      <c r="AW50" s="158"/>
      <c r="AX50" s="158"/>
      <c r="AY50" s="158"/>
      <c r="AZ50" s="158"/>
      <c r="BA50" s="158"/>
      <c r="BB50" s="158"/>
      <c r="BC50" s="158"/>
      <c r="BD50" s="158"/>
      <c r="BE50" s="158"/>
      <c r="BF50" s="158"/>
      <c r="BG50" s="158"/>
      <c r="BH50" s="158"/>
      <c r="BI50" s="158"/>
      <c r="BJ50" s="158"/>
    </row>
    <row r="51" spans="2:62" x14ac:dyDescent="0.2">
      <c r="B51" s="314"/>
      <c r="C51" s="324"/>
      <c r="D51" s="317"/>
      <c r="E51" s="313"/>
      <c r="F51" s="316"/>
      <c r="G51" s="304"/>
      <c r="H51" s="305"/>
      <c r="I51" s="306"/>
      <c r="J51" s="307"/>
      <c r="K51" s="308"/>
      <c r="L51" s="307">
        <f>IF(NOT(ISERROR(MATCH(K51,_xlfn.ANCHORARRAY(G62),0))),J64&amp;"Por favor no seleccionar los criterios de impacto",K51)</f>
        <v>0</v>
      </c>
      <c r="M51" s="306"/>
      <c r="N51" s="307"/>
      <c r="O51" s="309"/>
      <c r="P51" s="168">
        <v>4</v>
      </c>
      <c r="Q51" s="129"/>
      <c r="R51" s="169"/>
      <c r="S51" s="182"/>
      <c r="T51" s="170"/>
      <c r="U51" s="171"/>
      <c r="V51" s="170"/>
      <c r="W51" s="170"/>
      <c r="X51" s="170"/>
      <c r="Y51" s="172"/>
      <c r="Z51" s="172"/>
      <c r="AA51" s="171"/>
      <c r="AB51" s="173"/>
      <c r="AC51" s="171"/>
      <c r="AD51" s="174"/>
      <c r="AE51" s="170"/>
      <c r="AF51" s="133"/>
      <c r="AG51" s="133"/>
      <c r="AH51" s="199"/>
      <c r="AI51" s="176"/>
      <c r="AJ51" s="177"/>
      <c r="AK51" s="523"/>
      <c r="AL51" s="535"/>
      <c r="AM51" s="535"/>
      <c r="AN51" s="535"/>
      <c r="AO51" s="535"/>
      <c r="AP51" s="535"/>
      <c r="AQ51" s="535"/>
      <c r="AR51" s="535"/>
      <c r="AS51" s="158"/>
      <c r="AT51" s="158"/>
      <c r="AU51" s="158"/>
      <c r="AV51" s="158"/>
      <c r="AW51" s="158"/>
      <c r="AX51" s="158"/>
      <c r="AY51" s="158"/>
      <c r="AZ51" s="158"/>
      <c r="BA51" s="158"/>
      <c r="BB51" s="158"/>
      <c r="BC51" s="158"/>
      <c r="BD51" s="158"/>
      <c r="BE51" s="158"/>
      <c r="BF51" s="158"/>
      <c r="BG51" s="158"/>
      <c r="BH51" s="158"/>
      <c r="BI51" s="158"/>
      <c r="BJ51" s="158"/>
    </row>
    <row r="52" spans="2:62" x14ac:dyDescent="0.2">
      <c r="B52" s="314"/>
      <c r="C52" s="324"/>
      <c r="D52" s="317"/>
      <c r="E52" s="313"/>
      <c r="F52" s="316"/>
      <c r="G52" s="304"/>
      <c r="H52" s="305"/>
      <c r="I52" s="306"/>
      <c r="J52" s="307"/>
      <c r="K52" s="308"/>
      <c r="L52" s="307">
        <f>IF(NOT(ISERROR(MATCH(K52,_xlfn.ANCHORARRAY(G63),0))),J65&amp;"Por favor no seleccionar los criterios de impacto",K52)</f>
        <v>0</v>
      </c>
      <c r="M52" s="306"/>
      <c r="N52" s="307"/>
      <c r="O52" s="309"/>
      <c r="P52" s="168">
        <v>5</v>
      </c>
      <c r="Q52" s="127"/>
      <c r="R52" s="169" t="str">
        <f t="shared" ref="R52:R53" si="81">IF(OR(S52="Preventivo",S52="Detectivo"),"Probabilidad",IF(S52="Correctivo","Impacto",""))</f>
        <v/>
      </c>
      <c r="S52" s="170"/>
      <c r="T52" s="170"/>
      <c r="U52" s="171" t="str">
        <f t="shared" ref="U52:U53" si="82">IF(AND(S52="Preventivo",T52="Automático"),"50%",IF(AND(S52="Preventivo",T52="Manual"),"40%",IF(AND(S52="Detectivo",T52="Automático"),"40%",IF(AND(S52="Detectivo",T52="Manual"),"30%",IF(AND(S52="Correctivo",T52="Automático"),"35%",IF(AND(S52="Correctivo",T52="Manual"),"25%",""))))))</f>
        <v/>
      </c>
      <c r="V52" s="170"/>
      <c r="W52" s="170"/>
      <c r="X52" s="170"/>
      <c r="Y52" s="172" t="str">
        <f t="shared" ref="Y52:Y53" si="83">IFERROR(IF(AND(R51="Probabilidad",R52="Probabilidad"),(AA51-(+AA51*U52)),IF(AND(R51="Impacto",R52="Probabilidad"),(AA50-(+AA50*U52)),IF(R52="Impacto",AA51,""))),"")</f>
        <v/>
      </c>
      <c r="Z52" s="173" t="str">
        <f t="shared" ref="Z52:Z53" si="84">IFERROR(IF(Y52="","",IF(Y52&lt;=0.2,"Rara vez",IF(Y52&lt;=0.4,"Improbable",IF(Y52&lt;=0.6,"Posible",IF(Y52&lt;=0.8,"Probable","Casi Seguro"))))),"")</f>
        <v/>
      </c>
      <c r="AA52" s="171" t="str">
        <f t="shared" ref="AA52:AA53" si="85">+Y52</f>
        <v/>
      </c>
      <c r="AB52" s="173" t="str">
        <f t="shared" ref="AB52:AB53" si="86">IFERROR(IF(AC52="","",IF(AC52&lt;=0.6,"Moderado",IF(AC52&lt;=0.8,"Mayor","Catastrófico"))),"")</f>
        <v/>
      </c>
      <c r="AC52" s="171" t="str">
        <f t="shared" ref="AC52:AC53" si="87">IFERROR(IF(AND(R51="Impacto",R52="Impacto"),(AC51-(+AC51*U52)),IF(AND(R51="Probabilidad",R52="Impacto"),(AC50-(+AC50*U52)),IF(R52="Probabilidad",AC51,""))),"")</f>
        <v/>
      </c>
      <c r="AD52" s="174" t="str">
        <f t="shared" ref="AD52:AD53" si="88">IFERROR(IF(OR(AND(Z52="Muy Baja",AB52="Leve"),AND(Z52="Muy Baja",AB52="Menor"),AND(Z52="Baja",AB52="Leve")),"Bajo",IF(OR(AND(Z52="Muy baja",AB52="Moderado"),AND(Z52="Baja",AB52="Menor"),AND(Z52="Baja",AB52="Moderado"),AND(Z52="Media",AB52="Leve"),AND(Z52="Media",AB52="Menor"),AND(Z52="Media",AB52="Moderado"),AND(Z52="Alta",AB52="Leve"),AND(Z52="Alta",AB52="Menor")),"Moderado",IF(OR(AND(Z52="Muy Baja",AB52="Mayor"),AND(Z52="Baja",AB52="Mayor"),AND(Z52="Media",AB52="Mayor"),AND(Z52="Alta",AB52="Moderado"),AND(Z52="Alta",AB52="Mayor"),AND(Z52="Muy Alta",AB52="Leve"),AND(Z52="Muy Alta",AB52="Menor"),AND(Z52="Muy Alta",AB52="Moderado"),AND(Z52="Muy Alta",AB52="Mayor")),"Alto",IF(OR(AND(Z52="Muy Baja",AB52="Catastrófico"),AND(Z52="Baja",AB52="Catastrófico"),AND(Z52="Media",AB52="Catastrófico"),AND(Z52="Alta",AB52="Catastrófico"),AND(Z52="Muy Alta",AB52="Catastrófico")),"Extremo","")))),"")</f>
        <v/>
      </c>
      <c r="AE52" s="179"/>
      <c r="AF52" s="192"/>
      <c r="AG52" s="193"/>
      <c r="AH52" s="176"/>
      <c r="AI52" s="176"/>
      <c r="AJ52" s="177"/>
      <c r="AK52" s="522"/>
      <c r="AL52" s="535"/>
      <c r="AM52" s="535"/>
      <c r="AN52" s="535"/>
      <c r="AO52" s="535"/>
      <c r="AP52" s="535"/>
      <c r="AQ52" s="535"/>
      <c r="AR52" s="535"/>
      <c r="AS52" s="158"/>
      <c r="AT52" s="158"/>
      <c r="AU52" s="158"/>
      <c r="AV52" s="158"/>
      <c r="AW52" s="158"/>
      <c r="AX52" s="158"/>
      <c r="AY52" s="158"/>
      <c r="AZ52" s="158"/>
      <c r="BA52" s="158"/>
      <c r="BB52" s="158"/>
      <c r="BC52" s="158"/>
      <c r="BD52" s="158"/>
      <c r="BE52" s="158"/>
      <c r="BF52" s="158"/>
      <c r="BG52" s="158"/>
      <c r="BH52" s="158"/>
      <c r="BI52" s="158"/>
      <c r="BJ52" s="158"/>
    </row>
    <row r="53" spans="2:62" ht="20.25" customHeight="1" x14ac:dyDescent="0.2">
      <c r="B53" s="314"/>
      <c r="C53" s="324"/>
      <c r="D53" s="317"/>
      <c r="E53" s="313"/>
      <c r="F53" s="320"/>
      <c r="G53" s="304"/>
      <c r="H53" s="305"/>
      <c r="I53" s="306"/>
      <c r="J53" s="307"/>
      <c r="K53" s="308"/>
      <c r="L53" s="307">
        <f>IF(NOT(ISERROR(MATCH(K53,_xlfn.ANCHORARRAY(G64),0))),J66&amp;"Por favor no seleccionar los criterios de impacto",K53)</f>
        <v>0</v>
      </c>
      <c r="M53" s="306"/>
      <c r="N53" s="307"/>
      <c r="O53" s="309"/>
      <c r="P53" s="168">
        <v>6</v>
      </c>
      <c r="Q53" s="127"/>
      <c r="R53" s="169" t="str">
        <f t="shared" si="81"/>
        <v/>
      </c>
      <c r="S53" s="170"/>
      <c r="T53" s="170"/>
      <c r="U53" s="171" t="str">
        <f t="shared" si="82"/>
        <v/>
      </c>
      <c r="V53" s="170"/>
      <c r="W53" s="170"/>
      <c r="X53" s="170"/>
      <c r="Y53" s="172" t="str">
        <f t="shared" si="83"/>
        <v/>
      </c>
      <c r="Z53" s="173" t="str">
        <f t="shared" si="84"/>
        <v/>
      </c>
      <c r="AA53" s="171" t="str">
        <f t="shared" si="85"/>
        <v/>
      </c>
      <c r="AB53" s="173" t="str">
        <f t="shared" si="86"/>
        <v/>
      </c>
      <c r="AC53" s="171" t="str">
        <f t="shared" si="87"/>
        <v/>
      </c>
      <c r="AD53" s="174" t="str">
        <f t="shared" si="88"/>
        <v/>
      </c>
      <c r="AE53" s="179"/>
      <c r="AF53" s="192"/>
      <c r="AG53" s="193"/>
      <c r="AH53" s="176"/>
      <c r="AI53" s="176"/>
      <c r="AJ53" s="177"/>
      <c r="AK53" s="522"/>
      <c r="AL53" s="535"/>
      <c r="AM53" s="535"/>
      <c r="AN53" s="535"/>
      <c r="AO53" s="535"/>
      <c r="AP53" s="535"/>
      <c r="AQ53" s="535"/>
      <c r="AR53" s="535"/>
      <c r="AS53" s="158"/>
      <c r="AT53" s="158"/>
      <c r="AU53" s="158"/>
      <c r="AV53" s="158"/>
      <c r="AW53" s="158"/>
      <c r="AX53" s="158"/>
      <c r="AY53" s="158"/>
      <c r="AZ53" s="158"/>
      <c r="BA53" s="158"/>
      <c r="BB53" s="158"/>
      <c r="BC53" s="158"/>
      <c r="BD53" s="158"/>
      <c r="BE53" s="158"/>
      <c r="BF53" s="158"/>
      <c r="BG53" s="158"/>
      <c r="BH53" s="158"/>
      <c r="BI53" s="158"/>
      <c r="BJ53" s="158"/>
    </row>
    <row r="54" spans="2:62" s="163" customFormat="1" ht="83.25" customHeight="1" x14ac:dyDescent="0.25">
      <c r="B54" s="314" t="s">
        <v>189</v>
      </c>
      <c r="C54" s="324" t="s">
        <v>190</v>
      </c>
      <c r="D54" s="317" t="s">
        <v>191</v>
      </c>
      <c r="E54" s="313" t="s">
        <v>127</v>
      </c>
      <c r="F54" s="313" t="s">
        <v>192</v>
      </c>
      <c r="G54" s="304" t="s">
        <v>193</v>
      </c>
      <c r="H54" s="305" t="s">
        <v>109</v>
      </c>
      <c r="I54" s="306" t="str">
        <f>IF(H54&lt;=0,"",IF(H54="No se ha presentado en los últimos 5 años","Rara vez",IF(H54="Al menos 1 vez en los últimos 5 años","Improbable",IF(H54="Al menos 1 vez en los últimos 2 años","Posible",IF(H54="Al menos 1 vez en el último año","Probable",IF(H54="Más de 1 vez al año","Casi Seguro"))))))</f>
        <v>Rara vez</v>
      </c>
      <c r="J54" s="307">
        <f>IF(I54="","",IF(I54="Rara vez",0.2,IF(I54="Improbable",0.4,IF(I54="Posible",0.6,IF(I54="Probable",0.8,IF(I54="Casi Seguro",1,))))))</f>
        <v>0.2</v>
      </c>
      <c r="K54" s="308" t="s">
        <v>110</v>
      </c>
      <c r="L54" s="307" t="str">
        <f>IF(NOT(ISERROR(MATCH(K54,'Tabla Impacto'!$B$220:$B$222,0))),'Tabla Impacto'!$F$222&amp;"Por favor no seleccionar los criterios de impacto(Criterios para calificar el impacto)",K54)</f>
        <v>Responder afirmativamente de SEIS a ONCE</v>
      </c>
      <c r="M54" s="306" t="str">
        <f>IF(OR(L54='Tabla Impacto'!$C$5),"Moderado",IF(OR(L54='Tabla Impacto'!$C$6),"Mayor",IF(OR(L54='Tabla Impacto'!$C$7),"Catastrófico","")))</f>
        <v>Mayor</v>
      </c>
      <c r="N54" s="307">
        <f>IF(M54="","",IF(M54="Leve",0.2,IF(M54="Menor",0.4,IF(M54="Moderado",0.6,IF(M54="Mayor",0.8,IF(M54="Catastrófico",1,))))))</f>
        <v>0.8</v>
      </c>
      <c r="O54" s="309" t="str">
        <f>IF(OR(AND(I54="Rara vez",M54="Leve"),AND(I54="Rara vez",M54="Menor"),AND(I54="Improbable",M54="Leve")),"Bajo",IF(OR(AND(I54="Rara vez",M54="Moderado"),AND(I54="Improbable",M54="Menor"),AND(I54="Improbable",M54="Moderado"),AND(I54="Posible",M54="Leve"),AND(I54="Posible",M54="Menor"),AND(I54="Posible",M54="Moderado"),AND(I54="Probable",M54="Leve"),AND(I54="Probable",M54="Menor")),"Moderado",IF(OR(AND(I54="Rara vez",M54="Mayor"),AND(I54="Improbable",M54="Mayor"),AND(I54="Posible",M54="Mayor"),AND(I54="Probable",M54="Moderado"),AND(I54="Probable",M54="Mayor"),AND(I54="Casi Seguro",M54="Leve"),AND(I54="Casi Seguro",M54="Menor"),AND(I54="Casi Seguro",M54="Moderado"),AND(I54="Casi Seguro",M54="Mayor")),"Alto",IF(OR(AND(I54="Rara vez",M54="Catastrófico"),AND(I54="Improbable",M54="Catastrófico"),AND(I54="Posible",M54="Catastrófico"),AND(I54="Probable",M54="Catastrófico"),AND(I54="Casi Seguro",M54="Catastrófico")),"Extremo",""))))</f>
        <v>Alto</v>
      </c>
      <c r="P54" s="168">
        <v>1</v>
      </c>
      <c r="Q54" s="129" t="s">
        <v>194</v>
      </c>
      <c r="R54" s="169" t="str">
        <f>IF(OR(S54="Preventivo",S54="Detectivo"),"Probabilidad",IF(S54="Correctivo","Impacto",""))</f>
        <v>Probabilidad</v>
      </c>
      <c r="S54" s="170" t="s">
        <v>112</v>
      </c>
      <c r="T54" s="170" t="s">
        <v>113</v>
      </c>
      <c r="U54" s="171" t="str">
        <f>IF(AND(S54="Preventivo",T54="Automático"),"50%",IF(AND(S54="Preventivo",T54="Manual"),"40%",IF(AND(S54="Detectivo",T54="Automático"),"40%",IF(AND(S54="Detectivo",T54="Manual"),"30%",IF(AND(S54="Correctivo",T54="Automático"),"35%",IF(AND(S54="Correctivo",T54="Manual"),"25%",""))))))</f>
        <v>40%</v>
      </c>
      <c r="V54" s="170" t="s">
        <v>119</v>
      </c>
      <c r="W54" s="170" t="s">
        <v>115</v>
      </c>
      <c r="X54" s="170" t="s">
        <v>116</v>
      </c>
      <c r="Y54" s="172">
        <f>IFERROR(IF(R54="Probabilidad",(J54-(+J54*U54)),IF(R54="Impacto",J54,"")),"")</f>
        <v>0.12</v>
      </c>
      <c r="Z54" s="173" t="str">
        <f>IFERROR(IF(Y54="","",IF(Y54&lt;=0.2,"Rara vez",IF(Y54&lt;=0.4,"Improbable",IF(Y54&lt;=0.6,"Posible",IF(Y54&lt;=0.8,"Probable","Casi Seguro"))))),"")</f>
        <v>Rara vez</v>
      </c>
      <c r="AA54" s="171">
        <f>+Y54</f>
        <v>0.12</v>
      </c>
      <c r="AB54" s="173" t="str">
        <f>IFERROR(IF(AC54="","",IF(AC54&lt;=0.6,"Moderado",IF(AC54&lt;=0.8,"Mayor","Catastrófico"))),"")</f>
        <v>Mayor</v>
      </c>
      <c r="AC54" s="171">
        <f>IFERROR(IF(R54="Impacto",(N54-(+N54*U54)),IF(R54="Probabilidad",N54,"")),"")</f>
        <v>0.8</v>
      </c>
      <c r="AD54" s="174" t="str">
        <f>IFERROR(IF(OR(AND(Z54="Rara vez",AB54="Leve"),AND(Z54="Rara vez",AB54="Menor"),AND(Z54="Improbable",AB54="Leve")),"Bajo",IF(OR(AND(Z54="Rara vez",AB54="Moderado"),AND(Z54="Improbable",AB54="Menor"),AND(Z54="Improbable",AB54="Moderado"),AND(Z54="Posible",AB54="Leve"),AND(Z54="Posible",AB54="Menor"),AND(Z54="Posible",AB54="Moderado"),AND(Z54="Probable",AB54="Leve"),AND(Z54="Probable",AB54="Menor")),"Moderado",IF(OR(AND(Z54="Rara vez",AB54="Mayor"),AND(Z54="Improbable",AB54="Mayor"),AND(Z54="Posible",AB54="Mayor"),AND(Z54="Probable",AB54="Moderado"),AND(Z54="Probable",AB54="Mayor"),AND(Z54="Casi Seguro",AB54="Leve"),AND(Z54="Casi Seguro",AB54="Menor"),AND(Z54="Casi Seguro",AB54="Moderado"),AND(Z54="Casi Seguro",AB54="Mayor")),"Alto",IF(OR(AND(Z54="Rara vez",AB54="Catastrófico"),AND(Z54="Improbable",AB54="Catastrófico"),AND(Z54="Posible",AB54="Catastrófico"),AND(Z54="Probable",AB54="Catastrófico"),AND(Z54="Casi Seguro",AB54="Catastrófico")),"Extremo","")))),"")</f>
        <v>Alto</v>
      </c>
      <c r="AE54" s="170"/>
      <c r="AF54" s="123"/>
      <c r="AG54" s="123"/>
      <c r="AH54" s="175"/>
      <c r="AI54" s="176"/>
      <c r="AJ54" s="177"/>
      <c r="AK54" s="522"/>
      <c r="AL54" s="534"/>
      <c r="AM54" s="534"/>
      <c r="AN54" s="534"/>
      <c r="AO54" s="534"/>
      <c r="AP54" s="534"/>
      <c r="AQ54" s="534"/>
      <c r="AR54" s="534"/>
      <c r="AS54" s="178"/>
      <c r="AT54" s="178"/>
      <c r="AU54" s="178"/>
      <c r="AV54" s="178"/>
      <c r="AW54" s="178"/>
      <c r="AX54" s="178"/>
      <c r="AY54" s="178"/>
      <c r="AZ54" s="178"/>
      <c r="BA54" s="178"/>
      <c r="BB54" s="178"/>
      <c r="BC54" s="178"/>
      <c r="BD54" s="178"/>
      <c r="BE54" s="178"/>
      <c r="BF54" s="178"/>
      <c r="BG54" s="178"/>
      <c r="BH54" s="178"/>
      <c r="BI54" s="178"/>
      <c r="BJ54" s="178"/>
    </row>
    <row r="55" spans="2:62" ht="105" customHeight="1" x14ac:dyDescent="0.2">
      <c r="B55" s="314"/>
      <c r="C55" s="324"/>
      <c r="D55" s="317"/>
      <c r="E55" s="313"/>
      <c r="F55" s="313"/>
      <c r="G55" s="304"/>
      <c r="H55" s="305"/>
      <c r="I55" s="306"/>
      <c r="J55" s="307"/>
      <c r="K55" s="308"/>
      <c r="L55" s="307">
        <f>IF(NOT(ISERROR(MATCH(K55,_xlfn.ANCHORARRAY(G66),0))),J68&amp;"Por favor no seleccionar los criterios de impacto",K55)</f>
        <v>0</v>
      </c>
      <c r="M55" s="306"/>
      <c r="N55" s="307"/>
      <c r="O55" s="309"/>
      <c r="P55" s="168">
        <v>2</v>
      </c>
      <c r="Q55" s="129" t="s">
        <v>195</v>
      </c>
      <c r="R55" s="169" t="str">
        <f>IF(OR(S55="Preventivo",S55="Detectivo"),"Probabilidad",IF(S55="Correctivo","Impacto",""))</f>
        <v>Probabilidad</v>
      </c>
      <c r="S55" s="170" t="s">
        <v>133</v>
      </c>
      <c r="T55" s="170" t="s">
        <v>113</v>
      </c>
      <c r="U55" s="171" t="str">
        <f t="shared" ref="U55:U59" si="89">IF(AND(S55="Preventivo",T55="Automático"),"50%",IF(AND(S55="Preventivo",T55="Manual"),"40%",IF(AND(S55="Detectivo",T55="Automático"),"40%",IF(AND(S55="Detectivo",T55="Manual"),"30%",IF(AND(S55="Correctivo",T55="Automático"),"35%",IF(AND(S55="Correctivo",T55="Manual"),"25%",""))))))</f>
        <v>30%</v>
      </c>
      <c r="V55" s="170" t="s">
        <v>114</v>
      </c>
      <c r="W55" s="170" t="s">
        <v>115</v>
      </c>
      <c r="X55" s="170" t="s">
        <v>134</v>
      </c>
      <c r="Y55" s="172">
        <f>IFERROR(IF(AND(R54="Probabilidad",R55="Probabilidad"),(AA54-(+AA54*U55)),IF(R55="Probabilidad",(J54-(+J54*U55)),IF(R55="Impacto",AA54,""))),"")</f>
        <v>8.3999999999999991E-2</v>
      </c>
      <c r="Z55" s="173" t="str">
        <f t="shared" ref="Z55:Z56" si="90">IFERROR(IF(Y55="","",IF(Y55&lt;=0.2,"Rara vez",IF(Y55&lt;=0.4,"Improbable",IF(Y55&lt;=0.6,"Posible",IF(Y55&lt;=0.8,"Probable","Casi Seguro"))))),"")</f>
        <v>Rara vez</v>
      </c>
      <c r="AA55" s="171">
        <f t="shared" ref="AA55:AA59" si="91">+Y55</f>
        <v>8.3999999999999991E-2</v>
      </c>
      <c r="AB55" s="173" t="str">
        <f t="shared" ref="AB55:AB56" si="92">IFERROR(IF(AC55="","",IF(AC55&lt;=0.6,"Moderado",IF(AC55&lt;=0.8,"Mayor","Catastrófico"))),"")</f>
        <v>Mayor</v>
      </c>
      <c r="AC55" s="171">
        <f>IFERROR(IF(AND(R54="Impacto",R55="Impacto"),(AC54-(+AC54*U55)),IF(R55="Impacto",(N54-(+N54*U55)),IF(R55="Probabilidad",AC54,""))),"")</f>
        <v>0.8</v>
      </c>
      <c r="AD55" s="174" t="str">
        <f>IFERROR(IF(OR(AND(Z55="Rara vez",AB55="Leve"),AND(Z55="Rara vez",AB55="Menor"),AND(Z55="Improbable",AB55="Leve")),"Bajo",IF(OR(AND(Z55="Rara vez",AB55="Moderado"),AND(Z55="Improbable",AB55="Menor"),AND(Z55="Improbable",AB55="Moderado"),AND(Z55="Posible",AB55="Leve"),AND(Z55="Posible",AB55="Menor"),AND(Z55="Posible",AB55="Moderado"),AND(Z55="Probable",AB55="Leve"),AND(Z55="Probable",AB55="Menor")),"Moderado",IF(OR(AND(Z55="Rara vez",AB55="Mayor"),AND(Z55="Improbable",AB55="Mayor"),AND(Z55="Posible",AB55="Mayor"),AND(Z55="Probable",AB55="Moderado"),AND(Z55="Probable",AB55="Mayor"),AND(Z55="Casi Seguro",AB55="Leve"),AND(Z55="Casi Seguro",AB55="Menor"),AND(Z55="Casi Seguro",AB55="Moderado"),AND(Z55="Casi Seguro",AB55="Mayor")),"Alto",IF(OR(AND(Z55="Rara vez",AB55="Catastrófico"),AND(Z55="Improbable",AB55="Catastrófico"),AND(Z55="Posible",AB55="Catastrófico"),AND(Z55="Probable",AB55="Catastrófico"),AND(Z55="Casi Seguro",AB55="Catastrófico")),"Extremo","")))),"")</f>
        <v>Alto</v>
      </c>
      <c r="AE55" s="170"/>
      <c r="AF55" s="132"/>
      <c r="AG55" s="194"/>
      <c r="AH55" s="195"/>
      <c r="AI55" s="176"/>
      <c r="AJ55" s="181"/>
      <c r="AK55" s="522"/>
      <c r="AL55" s="535"/>
      <c r="AM55" s="535"/>
      <c r="AN55" s="535"/>
      <c r="AO55" s="535"/>
      <c r="AP55" s="535"/>
      <c r="AQ55" s="535"/>
      <c r="AR55" s="535"/>
      <c r="AS55" s="158"/>
      <c r="AT55" s="158"/>
      <c r="AU55" s="158"/>
      <c r="AV55" s="158"/>
      <c r="AW55" s="158"/>
      <c r="AX55" s="158"/>
      <c r="AY55" s="158"/>
      <c r="AZ55" s="158"/>
      <c r="BA55" s="158"/>
      <c r="BB55" s="158"/>
      <c r="BC55" s="158"/>
      <c r="BD55" s="158"/>
      <c r="BE55" s="158"/>
      <c r="BF55" s="158"/>
      <c r="BG55" s="158"/>
      <c r="BH55" s="158"/>
      <c r="BI55" s="158"/>
      <c r="BJ55" s="158"/>
    </row>
    <row r="56" spans="2:62" ht="78" customHeight="1" x14ac:dyDescent="0.2">
      <c r="B56" s="314"/>
      <c r="C56" s="324"/>
      <c r="D56" s="317"/>
      <c r="E56" s="313"/>
      <c r="F56" s="313"/>
      <c r="G56" s="304"/>
      <c r="H56" s="305"/>
      <c r="I56" s="306"/>
      <c r="J56" s="307"/>
      <c r="K56" s="308"/>
      <c r="L56" s="307">
        <f>IF(NOT(ISERROR(MATCH(K56,_xlfn.ANCHORARRAY(G67),0))),J69&amp;"Por favor no seleccionar los criterios de impacto",K56)</f>
        <v>0</v>
      </c>
      <c r="M56" s="306"/>
      <c r="N56" s="307"/>
      <c r="O56" s="309"/>
      <c r="P56" s="168">
        <v>3</v>
      </c>
      <c r="Q56" s="129" t="s">
        <v>196</v>
      </c>
      <c r="R56" s="169" t="str">
        <f t="shared" ref="R56:R59" si="93">IF(OR(S56="Preventivo",S56="Detectivo"),"Probabilidad",IF(S56="Correctivo","Impacto",""))</f>
        <v>Probabilidad</v>
      </c>
      <c r="S56" s="170" t="s">
        <v>112</v>
      </c>
      <c r="T56" s="170" t="s">
        <v>113</v>
      </c>
      <c r="U56" s="171" t="str">
        <f t="shared" si="89"/>
        <v>40%</v>
      </c>
      <c r="V56" s="170" t="s">
        <v>119</v>
      </c>
      <c r="W56" s="170" t="s">
        <v>115</v>
      </c>
      <c r="X56" s="170" t="s">
        <v>134</v>
      </c>
      <c r="Y56" s="172">
        <f>IFERROR(IF(AND(R55="Probabilidad",R56="Probabilidad"),(AA55-(+AA55*U56)),IF(AND(R55="Impacto",R56="Probabilidad"),(AA54-(+AA54*U56)),IF(R56="Impacto",AA55,""))),"")</f>
        <v>5.0399999999999993E-2</v>
      </c>
      <c r="Z56" s="173" t="str">
        <f t="shared" si="90"/>
        <v>Rara vez</v>
      </c>
      <c r="AA56" s="171">
        <f t="shared" si="91"/>
        <v>5.0399999999999993E-2</v>
      </c>
      <c r="AB56" s="173" t="str">
        <f t="shared" si="92"/>
        <v>Mayor</v>
      </c>
      <c r="AC56" s="171">
        <f>IFERROR(IF(AND(R55="Impacto",R56="Impacto"),(AC55-(+AC55*U56)),IF(AND(R55="Probabilidad",R56="Impacto"),(AC54-(+AC54*U56)),IF(R56="Probabilidad",AC55,""))),"")</f>
        <v>0.8</v>
      </c>
      <c r="AD56" s="174" t="str">
        <f>IFERROR(IF(OR(AND(Z56="Rara vez",AB56="Leve"),AND(Z56="Rara vez",AB56="Menor"),AND(Z56="Improbable",AB56="Leve")),"Bajo",IF(OR(AND(Z56="Rara vez",AB56="Moderado"),AND(Z56="Improbable",AB56="Menor"),AND(Z56="Improbable",AB56="Moderado"),AND(Z56="Posible",AB56="Leve"),AND(Z56="Posible",AB56="Menor"),AND(Z56="Posible",AB56="Moderado"),AND(Z56="Probable",AB56="Leve"),AND(Z56="Probable",AB56="Menor")),"Moderado",IF(OR(AND(Z56="Rara vez",AB56="Mayor"),AND(Z56="Improbable",AB56="Mayor"),AND(Z56="Posible",AB56="Mayor"),AND(Z56="Probable",AB56="Moderado"),AND(Z56="Probable",AB56="Mayor"),AND(Z56="Casi Seguro",AB56="Leve"),AND(Z56="Casi Seguro",AB56="Menor"),AND(Z56="Casi Seguro",AB56="Moderado"),AND(Z56="Casi Seguro",AB56="Mayor")),"Alto",IF(OR(AND(Z56="Rara vez",AB56="Catastrófico"),AND(Z56="Improbable",AB56="Catastrófico"),AND(Z56="Posible",AB56="Catastrófico"),AND(Z56="Probable",AB56="Catastrófico"),AND(Z56="Casi Seguro",AB56="Catastrófico")),"Extremo","")))),"")</f>
        <v>Alto</v>
      </c>
      <c r="AE56" s="196"/>
      <c r="AF56" s="184"/>
      <c r="AG56" s="185"/>
      <c r="AH56" s="186"/>
      <c r="AI56" s="187"/>
      <c r="AJ56" s="188"/>
      <c r="AK56" s="523"/>
      <c r="AL56" s="535"/>
      <c r="AM56" s="535"/>
      <c r="AN56" s="535"/>
      <c r="AO56" s="535"/>
      <c r="AP56" s="535"/>
      <c r="AQ56" s="535"/>
      <c r="AR56" s="535"/>
      <c r="AS56" s="158"/>
      <c r="AT56" s="158"/>
      <c r="AU56" s="158"/>
      <c r="AV56" s="158"/>
      <c r="AW56" s="158"/>
      <c r="AX56" s="158"/>
      <c r="AY56" s="158"/>
      <c r="AZ56" s="158"/>
      <c r="BA56" s="158"/>
      <c r="BB56" s="158"/>
      <c r="BC56" s="158"/>
      <c r="BD56" s="158"/>
      <c r="BE56" s="158"/>
      <c r="BF56" s="158"/>
      <c r="BG56" s="158"/>
      <c r="BH56" s="158"/>
      <c r="BI56" s="158"/>
      <c r="BJ56" s="158"/>
    </row>
    <row r="57" spans="2:62" ht="76.5" x14ac:dyDescent="0.2">
      <c r="B57" s="314"/>
      <c r="C57" s="324"/>
      <c r="D57" s="317"/>
      <c r="E57" s="313"/>
      <c r="F57" s="313"/>
      <c r="G57" s="304"/>
      <c r="H57" s="305"/>
      <c r="I57" s="306"/>
      <c r="J57" s="307"/>
      <c r="K57" s="308"/>
      <c r="L57" s="307">
        <f>IF(NOT(ISERROR(MATCH(K57,_xlfn.ANCHORARRAY(G68),0))),J70&amp;"Por favor no seleccionar los criterios de impacto",K57)</f>
        <v>0</v>
      </c>
      <c r="M57" s="306"/>
      <c r="N57" s="307"/>
      <c r="O57" s="309"/>
      <c r="P57" s="168">
        <v>4</v>
      </c>
      <c r="Q57" s="129" t="s">
        <v>197</v>
      </c>
      <c r="R57" s="169" t="str">
        <f t="shared" si="93"/>
        <v>Impacto</v>
      </c>
      <c r="S57" s="182" t="s">
        <v>137</v>
      </c>
      <c r="T57" s="170" t="s">
        <v>113</v>
      </c>
      <c r="U57" s="171" t="str">
        <f t="shared" si="89"/>
        <v>25%</v>
      </c>
      <c r="V57" s="170" t="s">
        <v>119</v>
      </c>
      <c r="W57" s="170" t="s">
        <v>115</v>
      </c>
      <c r="X57" s="170" t="s">
        <v>134</v>
      </c>
      <c r="Y57" s="172">
        <f t="shared" ref="Y57:Y59" si="94">IFERROR(IF(AND(R56="Probabilidad",R57="Probabilidad"),(AA56-(+AA56*U57)),IF(AND(R56="Impacto",R57="Probabilidad"),(AA55-(+AA55*U57)),IF(R57="Impacto",AA56,""))),"")</f>
        <v>5.0399999999999993E-2</v>
      </c>
      <c r="Z57" s="197" t="s">
        <v>156</v>
      </c>
      <c r="AA57" s="171">
        <f t="shared" si="91"/>
        <v>5.0399999999999993E-2</v>
      </c>
      <c r="AB57" s="173" t="str">
        <f t="shared" ref="AB57" si="95">IFERROR(IF(AC57="","",IF(AC57&lt;=0.2,"Leve",IF(AC57&lt;=0.4,"Menor",IF(AC57&lt;=0.6,"Moderado",IF(AC57&lt;=0.8,"Mayor","Catastrófico"))))),"")</f>
        <v>Moderado</v>
      </c>
      <c r="AC57" s="171">
        <f t="shared" ref="AC57:AC59" si="96">IFERROR(IF(AND(R56="Impacto",R57="Impacto"),(AC56-(+AC56*U57)),IF(AND(R56="Probabilidad",R57="Impacto"),(AC55-(+AC55*U57)),IF(R57="Probabilidad",AC56,""))),"")</f>
        <v>0.60000000000000009</v>
      </c>
      <c r="AD57" s="174" t="str">
        <f>IFERROR(IF(OR(AND(Z57="Rara vez",AB57="Leve"),AND(Z57="Rara vez",AB57="Menor"),AND(Z57="Improbable",AB57="Leve")),"Bajo",IF(OR(AND(Z57="Rara vez",AB57="Moderado"),AND(Z57="Improbable",AB57="Menor"),AND(Z57="Improbable",AB57="Moderado"),AND(Z57="Posible",AB57="Leve"),AND(Z57="Posible",AB57="Menor"),AND(Z57="Posible",AB57="Moderado"),AND(Z57="Probable",AB57="Leve"),AND(Z57="Probable",AB57="Menor")),"Moderado",IF(OR(AND(Z57="Rara vez",AB57="Mayor"),AND(Z57="Improbable",AB57="Mayor"),AND(Z57="Posible",AB57="Mayor"),AND(Z57="Probable",AB57="Moderado"),AND(Z57="Probable",AB57="Mayor"),AND(Z57="Casi Seguro",AB57="Leve"),AND(Z57="Casi Seguro",AB57="Menor"),AND(Z57="Casi Seguro",AB57="Moderado"),AND(Z57="Casi Seguro",AB57="Mayor")),"Alto",IF(OR(AND(Z57="Rara vez",AB57="Catastrófico"),AND(Z57="Improbable",AB57="Catastrófico"),AND(Z57="Posible",AB57="Catastrófico"),AND(Z57="Probable",AB57="Catastrófico"),AND(Z57="Casi Seguro",AB57="Catastrófico")),"Extremo","")))),"")</f>
        <v>Moderado</v>
      </c>
      <c r="AE57" s="170" t="s">
        <v>120</v>
      </c>
      <c r="AF57" s="136" t="s">
        <v>198</v>
      </c>
      <c r="AG57" s="136" t="s">
        <v>199</v>
      </c>
      <c r="AH57" s="131">
        <v>45807</v>
      </c>
      <c r="AI57" s="136"/>
      <c r="AJ57" s="136"/>
      <c r="AK57" s="200" t="s">
        <v>123</v>
      </c>
      <c r="AL57" s="535"/>
      <c r="AM57" s="535"/>
      <c r="AN57" s="535"/>
      <c r="AO57" s="535"/>
      <c r="AP57" s="535"/>
      <c r="AQ57" s="535"/>
      <c r="AR57" s="535"/>
      <c r="AS57" s="158"/>
      <c r="AT57" s="158"/>
      <c r="AU57" s="158"/>
      <c r="AV57" s="158"/>
      <c r="AW57" s="158"/>
      <c r="AX57" s="158"/>
      <c r="AY57" s="158"/>
      <c r="AZ57" s="158"/>
      <c r="BA57" s="158"/>
      <c r="BB57" s="158"/>
      <c r="BC57" s="158"/>
      <c r="BD57" s="158"/>
      <c r="BE57" s="158"/>
      <c r="BF57" s="158"/>
      <c r="BG57" s="158"/>
      <c r="BH57" s="158"/>
      <c r="BI57" s="158"/>
      <c r="BJ57" s="158"/>
    </row>
    <row r="58" spans="2:62" x14ac:dyDescent="0.2">
      <c r="B58" s="314"/>
      <c r="C58" s="324"/>
      <c r="D58" s="317"/>
      <c r="E58" s="313"/>
      <c r="F58" s="313"/>
      <c r="G58" s="304"/>
      <c r="H58" s="305"/>
      <c r="I58" s="306"/>
      <c r="J58" s="307"/>
      <c r="K58" s="308"/>
      <c r="L58" s="307">
        <f>IF(NOT(ISERROR(MATCH(K58,_xlfn.ANCHORARRAY(G69),0))),J71&amp;"Por favor no seleccionar los criterios de impacto",K58)</f>
        <v>0</v>
      </c>
      <c r="M58" s="306"/>
      <c r="N58" s="307"/>
      <c r="O58" s="309"/>
      <c r="P58" s="168">
        <v>5</v>
      </c>
      <c r="Q58" s="127"/>
      <c r="R58" s="169" t="str">
        <f t="shared" si="93"/>
        <v/>
      </c>
      <c r="S58" s="170"/>
      <c r="T58" s="170"/>
      <c r="U58" s="171" t="str">
        <f t="shared" si="89"/>
        <v/>
      </c>
      <c r="V58" s="170"/>
      <c r="W58" s="170"/>
      <c r="X58" s="170"/>
      <c r="Y58" s="172" t="str">
        <f t="shared" si="94"/>
        <v/>
      </c>
      <c r="Z58" s="173" t="str">
        <f t="shared" ref="Z58:Z59" si="97">IFERROR(IF(Y58="","",IF(Y58&lt;=0.2,"Rara vez",IF(Y58&lt;=0.4,"Improbable",IF(Y58&lt;=0.6,"Posible",IF(Y58&lt;=0.8,"Probable","Casi Seguro"))))),"")</f>
        <v/>
      </c>
      <c r="AA58" s="171" t="str">
        <f t="shared" si="91"/>
        <v/>
      </c>
      <c r="AB58" s="173" t="str">
        <f t="shared" ref="AB58:AB59" si="98">IFERROR(IF(AC58="","",IF(AC58&lt;=0.6,"Moderado",IF(AC58&lt;=0.8,"Mayor","Catastrófico"))),"")</f>
        <v/>
      </c>
      <c r="AC58" s="171" t="str">
        <f t="shared" si="96"/>
        <v/>
      </c>
      <c r="AD58" s="174" t="str">
        <f t="shared" ref="AD58:AD59" si="99">IFERROR(IF(OR(AND(Z58="Muy Baja",AB58="Leve"),AND(Z58="Muy Baja",AB58="Menor"),AND(Z58="Baja",AB58="Leve")),"Bajo",IF(OR(AND(Z58="Muy baja",AB58="Moderado"),AND(Z58="Baja",AB58="Menor"),AND(Z58="Baja",AB58="Moderado"),AND(Z58="Media",AB58="Leve"),AND(Z58="Media",AB58="Menor"),AND(Z58="Media",AB58="Moderado"),AND(Z58="Alta",AB58="Leve"),AND(Z58="Alta",AB58="Menor")),"Moderado",IF(OR(AND(Z58="Muy Baja",AB58="Mayor"),AND(Z58="Baja",AB58="Mayor"),AND(Z58="Media",AB58="Mayor"),AND(Z58="Alta",AB58="Moderado"),AND(Z58="Alta",AB58="Mayor"),AND(Z58="Muy Alta",AB58="Leve"),AND(Z58="Muy Alta",AB58="Menor"),AND(Z58="Muy Alta",AB58="Moderado"),AND(Z58="Muy Alta",AB58="Mayor")),"Alto",IF(OR(AND(Z58="Muy Baja",AB58="Catastrófico"),AND(Z58="Baja",AB58="Catastrófico"),AND(Z58="Media",AB58="Catastrófico"),AND(Z58="Alta",AB58="Catastrófico"),AND(Z58="Muy Alta",AB58="Catastrófico")),"Extremo","")))),"")</f>
        <v/>
      </c>
      <c r="AE58" s="179"/>
      <c r="AF58" s="192"/>
      <c r="AG58" s="193"/>
      <c r="AH58" s="176"/>
      <c r="AI58" s="176"/>
      <c r="AJ58" s="177"/>
      <c r="AK58" s="522"/>
      <c r="AL58" s="535"/>
      <c r="AM58" s="535"/>
      <c r="AN58" s="535"/>
      <c r="AO58" s="535"/>
      <c r="AP58" s="535"/>
      <c r="AQ58" s="535"/>
      <c r="AR58" s="535"/>
      <c r="AS58" s="158"/>
      <c r="AT58" s="158"/>
      <c r="AU58" s="158"/>
      <c r="AV58" s="158"/>
      <c r="AW58" s="158"/>
      <c r="AX58" s="158"/>
      <c r="AY58" s="158"/>
      <c r="AZ58" s="158"/>
      <c r="BA58" s="158"/>
      <c r="BB58" s="158"/>
      <c r="BC58" s="158"/>
      <c r="BD58" s="158"/>
      <c r="BE58" s="158"/>
      <c r="BF58" s="158"/>
      <c r="BG58" s="158"/>
      <c r="BH58" s="158"/>
      <c r="BI58" s="158"/>
      <c r="BJ58" s="158"/>
    </row>
    <row r="59" spans="2:62" ht="20.25" customHeight="1" x14ac:dyDescent="0.2">
      <c r="B59" s="314"/>
      <c r="C59" s="324"/>
      <c r="D59" s="317"/>
      <c r="E59" s="313"/>
      <c r="F59" s="313"/>
      <c r="G59" s="304"/>
      <c r="H59" s="305"/>
      <c r="I59" s="306"/>
      <c r="J59" s="307"/>
      <c r="K59" s="308"/>
      <c r="L59" s="307">
        <f>IF(NOT(ISERROR(MATCH(K59,_xlfn.ANCHORARRAY(G70),0))),J72&amp;"Por favor no seleccionar los criterios de impacto",K59)</f>
        <v>0</v>
      </c>
      <c r="M59" s="306"/>
      <c r="N59" s="307"/>
      <c r="O59" s="309"/>
      <c r="P59" s="168">
        <v>6</v>
      </c>
      <c r="Q59" s="127"/>
      <c r="R59" s="169" t="str">
        <f t="shared" si="93"/>
        <v/>
      </c>
      <c r="S59" s="170"/>
      <c r="T59" s="170"/>
      <c r="U59" s="171" t="str">
        <f t="shared" si="89"/>
        <v/>
      </c>
      <c r="V59" s="170"/>
      <c r="W59" s="170"/>
      <c r="X59" s="170"/>
      <c r="Y59" s="172" t="str">
        <f t="shared" si="94"/>
        <v/>
      </c>
      <c r="Z59" s="173" t="str">
        <f t="shared" si="97"/>
        <v/>
      </c>
      <c r="AA59" s="171" t="str">
        <f t="shared" si="91"/>
        <v/>
      </c>
      <c r="AB59" s="173" t="str">
        <f t="shared" si="98"/>
        <v/>
      </c>
      <c r="AC59" s="171" t="str">
        <f t="shared" si="96"/>
        <v/>
      </c>
      <c r="AD59" s="174" t="str">
        <f t="shared" si="99"/>
        <v/>
      </c>
      <c r="AE59" s="179"/>
      <c r="AF59" s="192"/>
      <c r="AG59" s="193"/>
      <c r="AH59" s="176"/>
      <c r="AI59" s="176"/>
      <c r="AJ59" s="177"/>
      <c r="AK59" s="522"/>
      <c r="AL59" s="535"/>
      <c r="AM59" s="535"/>
      <c r="AN59" s="535"/>
      <c r="AO59" s="535"/>
      <c r="AP59" s="535"/>
      <c r="AQ59" s="535"/>
      <c r="AR59" s="535"/>
      <c r="AS59" s="158"/>
      <c r="AT59" s="158"/>
      <c r="AU59" s="158"/>
      <c r="AV59" s="158"/>
      <c r="AW59" s="158"/>
      <c r="AX59" s="158"/>
      <c r="AY59" s="158"/>
      <c r="AZ59" s="158"/>
      <c r="BA59" s="158"/>
      <c r="BB59" s="158"/>
      <c r="BC59" s="158"/>
      <c r="BD59" s="158"/>
      <c r="BE59" s="158"/>
      <c r="BF59" s="158"/>
      <c r="BG59" s="158"/>
      <c r="BH59" s="158"/>
      <c r="BI59" s="158"/>
      <c r="BJ59" s="158"/>
    </row>
    <row r="60" spans="2:62" s="163" customFormat="1" ht="83.25" customHeight="1" x14ac:dyDescent="0.25">
      <c r="B60" s="314" t="s">
        <v>200</v>
      </c>
      <c r="C60" s="324" t="s">
        <v>201</v>
      </c>
      <c r="D60" s="317" t="s">
        <v>202</v>
      </c>
      <c r="E60" s="313" t="s">
        <v>127</v>
      </c>
      <c r="F60" s="313" t="s">
        <v>203</v>
      </c>
      <c r="G60" s="304" t="s">
        <v>204</v>
      </c>
      <c r="H60" s="305" t="s">
        <v>109</v>
      </c>
      <c r="I60" s="306" t="str">
        <f>IF(H60&lt;=0,"",IF(H60="No se ha presentado en los últimos 5 años","Rara vez",IF(H60="Al menos 1 vez en los últimos 5 años","Improbable",IF(H60="Al menos 1 vez en los últimos 2 años","Posible",IF(H60="Al menos 1 vez en el último año","Probable",IF(H60="Más de 1 vez al año","Casi Seguro"))))))</f>
        <v>Rara vez</v>
      </c>
      <c r="J60" s="307">
        <f>IF(I60="","",IF(I60="Rara vez",0.2,IF(I60="Improbable",0.4,IF(I60="Posible",0.6,IF(I60="Probable",0.8,IF(I60="Casi Seguro",1,))))))</f>
        <v>0.2</v>
      </c>
      <c r="K60" s="308" t="s">
        <v>131</v>
      </c>
      <c r="L60" s="307" t="str">
        <f>IF(NOT(ISERROR(MATCH(K60,'Tabla Impacto'!$B$220:$B$222,0))),'Tabla Impacto'!$F$222&amp;"Por favor no seleccionar los criterios de impacto(Criterios para calificar el impacto)",K60)</f>
        <v xml:space="preserve">Responder afirmativamente de DOCE a DIECINUEVE </v>
      </c>
      <c r="M60" s="306" t="str">
        <f>IF(OR(L60='Tabla Impacto'!$C$5),"Moderado",IF(OR(L60='Tabla Impacto'!$C$6),"Mayor",IF(OR(L60='Tabla Impacto'!$C$7),"Catastrófico","")))</f>
        <v>Catastrófico</v>
      </c>
      <c r="N60" s="307">
        <f>IF(M60="","",IF(M60="Leve",0.2,IF(M60="Menor",0.4,IF(M60="Moderado",0.6,IF(M60="Mayor",0.8,IF(M60="Catastrófico",1,))))))</f>
        <v>1</v>
      </c>
      <c r="O60" s="309" t="str">
        <f>IF(OR(AND(I60="Rara vez",M60="Leve"),AND(I60="Rara vez",M60="Menor"),AND(I60="Improbable",M60="Leve")),"Bajo",IF(OR(AND(I60="Rara vez",M60="Moderado"),AND(I60="Improbable",M60="Menor"),AND(I60="Improbable",M60="Moderado"),AND(I60="Posible",M60="Leve"),AND(I60="Posible",M60="Menor"),AND(I60="Posible",M60="Moderado"),AND(I60="Probable",M60="Leve"),AND(I60="Probable",M60="Menor")),"Moderado",IF(OR(AND(I60="Rara vez",M60="Mayor"),AND(I60="Improbable",M60="Mayor"),AND(I60="Posible",M60="Mayor"),AND(I60="Probable",M60="Moderado"),AND(I60="Probable",M60="Mayor"),AND(I60="Casi Seguro",M60="Leve"),AND(I60="Casi Seguro",M60="Menor"),AND(I60="Casi Seguro",M60="Moderado"),AND(I60="Casi Seguro",M60="Mayor")),"Alto",IF(OR(AND(I60="Rara vez",M60="Catastrófico"),AND(I60="Improbable",M60="Catastrófico"),AND(I60="Posible",M60="Catastrófico"),AND(I60="Probable",M60="Catastrófico"),AND(I60="Casi Seguro",M60="Catastrófico")),"Extremo",""))))</f>
        <v>Extremo</v>
      </c>
      <c r="P60" s="168">
        <v>1</v>
      </c>
      <c r="Q60" s="129" t="s">
        <v>205</v>
      </c>
      <c r="R60" s="169" t="str">
        <f>IF(OR(S60="Preventivo",S60="Detectivo"),"Probabilidad",IF(S60="Correctivo","Impacto",""))</f>
        <v>Probabilidad</v>
      </c>
      <c r="S60" s="170" t="s">
        <v>112</v>
      </c>
      <c r="T60" s="170" t="s">
        <v>206</v>
      </c>
      <c r="U60" s="171" t="str">
        <f>IF(AND(S60="Preventivo",T60="Automático"),"50%",IF(AND(S60="Preventivo",T60="Manual"),"40%",IF(AND(S60="Detectivo",T60="Automático"),"40%",IF(AND(S60="Detectivo",T60="Manual"),"30%",IF(AND(S60="Correctivo",T60="Automático"),"35%",IF(AND(S60="Correctivo",T60="Manual"),"25%",""))))))</f>
        <v>50%</v>
      </c>
      <c r="V60" s="170" t="s">
        <v>119</v>
      </c>
      <c r="W60" s="170" t="s">
        <v>115</v>
      </c>
      <c r="X60" s="170" t="s">
        <v>116</v>
      </c>
      <c r="Y60" s="172">
        <f>IFERROR(IF(R60="Probabilidad",(J60-(+J60*U60)),IF(R60="Impacto",J60,"")),"")</f>
        <v>0.1</v>
      </c>
      <c r="Z60" s="173" t="str">
        <f>IFERROR(IF(Y60="","",IF(Y60&lt;=0.2,"Rara vez",IF(Y60&lt;=0.4,"Improbable",IF(Y60&lt;=0.6,"Posible",IF(Y60&lt;=0.8,"Probable","Casi Seguro"))))),"")</f>
        <v>Rara vez</v>
      </c>
      <c r="AA60" s="171">
        <f>+Y60</f>
        <v>0.1</v>
      </c>
      <c r="AB60" s="173" t="str">
        <f>IFERROR(IF(AC60="","",IF(AC60&lt;=0.6,"Moderado",IF(AC60&lt;=0.8,"Mayor","Catastrófico"))),"")</f>
        <v>Catastrófico</v>
      </c>
      <c r="AC60" s="171">
        <f>IFERROR(IF(R60="Impacto",(N60-(+N60*U60)),IF(R60="Probabilidad",N60,"")),"")</f>
        <v>1</v>
      </c>
      <c r="AD60" s="174" t="str">
        <f>IFERROR(IF(OR(AND(Z60="Rara vez",AB60="Leve"),AND(Z60="Rara vez",AB60="Menor"),AND(Z60="Improbable",AB60="Leve")),"Bajo",IF(OR(AND(Z60="Rara vez",AB60="Moderado"),AND(Z60="Improbable",AB60="Menor"),AND(Z60="Improbable",AB60="Moderado"),AND(Z60="Posible",AB60="Leve"),AND(Z60="Posible",AB60="Menor"),AND(Z60="Posible",AB60="Moderado"),AND(Z60="Probable",AB60="Leve"),AND(Z60="Probable",AB60="Menor")),"Moderado",IF(OR(AND(Z60="Rara vez",AB60="Mayor"),AND(Z60="Improbable",AB60="Mayor"),AND(Z60="Posible",AB60="Mayor"),AND(Z60="Probable",AB60="Moderado"),AND(Z60="Probable",AB60="Mayor"),AND(Z60="Casi Seguro",AB60="Leve"),AND(Z60="Casi Seguro",AB60="Menor"),AND(Z60="Casi Seguro",AB60="Moderado"),AND(Z60="Casi Seguro",AB60="Mayor")),"Alto",IF(OR(AND(Z60="Rara vez",AB60="Catastrófico"),AND(Z60="Improbable",AB60="Catastrófico"),AND(Z60="Posible",AB60="Catastrófico"),AND(Z60="Probable",AB60="Catastrófico"),AND(Z60="Casi Seguro",AB60="Catastrófico")),"Extremo","")))),"")</f>
        <v>Extremo</v>
      </c>
      <c r="AE60" s="170"/>
      <c r="AF60" s="123"/>
      <c r="AG60" s="123"/>
      <c r="AH60" s="175"/>
      <c r="AI60" s="176"/>
      <c r="AJ60" s="177"/>
      <c r="AK60" s="522"/>
      <c r="AL60" s="534"/>
      <c r="AM60" s="534"/>
      <c r="AN60" s="534"/>
      <c r="AO60" s="534"/>
      <c r="AP60" s="534"/>
      <c r="AQ60" s="534"/>
      <c r="AR60" s="534"/>
      <c r="AS60" s="178"/>
      <c r="AT60" s="178"/>
      <c r="AU60" s="178"/>
      <c r="AV60" s="178"/>
      <c r="AW60" s="178"/>
      <c r="AX60" s="178"/>
      <c r="AY60" s="178"/>
      <c r="AZ60" s="178"/>
      <c r="BA60" s="178"/>
      <c r="BB60" s="178"/>
      <c r="BC60" s="178"/>
      <c r="BD60" s="178"/>
      <c r="BE60" s="178"/>
      <c r="BF60" s="178"/>
      <c r="BG60" s="178"/>
      <c r="BH60" s="178"/>
      <c r="BI60" s="178"/>
      <c r="BJ60" s="178"/>
    </row>
    <row r="61" spans="2:62" ht="105" customHeight="1" x14ac:dyDescent="0.2">
      <c r="B61" s="314"/>
      <c r="C61" s="324"/>
      <c r="D61" s="317"/>
      <c r="E61" s="313"/>
      <c r="F61" s="313"/>
      <c r="G61" s="304"/>
      <c r="H61" s="305"/>
      <c r="I61" s="306"/>
      <c r="J61" s="307"/>
      <c r="K61" s="308"/>
      <c r="L61" s="307">
        <f>IF(NOT(ISERROR(MATCH(K61,_xlfn.ANCHORARRAY(G72),0))),J74&amp;"Por favor no seleccionar los criterios de impacto",K61)</f>
        <v>0</v>
      </c>
      <c r="M61" s="306"/>
      <c r="N61" s="307"/>
      <c r="O61" s="309"/>
      <c r="P61" s="168">
        <v>2</v>
      </c>
      <c r="Q61" s="129" t="s">
        <v>207</v>
      </c>
      <c r="R61" s="169" t="str">
        <f>IF(OR(S61="Preventivo",S61="Detectivo"),"Probabilidad",IF(S61="Correctivo","Impacto",""))</f>
        <v>Probabilidad</v>
      </c>
      <c r="S61" s="170" t="s">
        <v>133</v>
      </c>
      <c r="T61" s="170" t="s">
        <v>206</v>
      </c>
      <c r="U61" s="171" t="str">
        <f t="shared" ref="U61:U65" si="100">IF(AND(S61="Preventivo",T61="Automático"),"50%",IF(AND(S61="Preventivo",T61="Manual"),"40%",IF(AND(S61="Detectivo",T61="Automático"),"40%",IF(AND(S61="Detectivo",T61="Manual"),"30%",IF(AND(S61="Correctivo",T61="Automático"),"35%",IF(AND(S61="Correctivo",T61="Manual"),"25%",""))))))</f>
        <v>40%</v>
      </c>
      <c r="V61" s="170" t="s">
        <v>114</v>
      </c>
      <c r="W61" s="170" t="s">
        <v>115</v>
      </c>
      <c r="X61" s="170" t="s">
        <v>116</v>
      </c>
      <c r="Y61" s="172">
        <f>IFERROR(IF(AND(R60="Probabilidad",R61="Probabilidad"),(AA60-(+AA60*U61)),IF(R61="Probabilidad",(J60-(+J60*U61)),IF(R61="Impacto",AA60,""))),"")</f>
        <v>0.06</v>
      </c>
      <c r="Z61" s="173" t="str">
        <f t="shared" ref="Z61:Z62" si="101">IFERROR(IF(Y61="","",IF(Y61&lt;=0.2,"Rara vez",IF(Y61&lt;=0.4,"Improbable",IF(Y61&lt;=0.6,"Posible",IF(Y61&lt;=0.8,"Probable","Casi Seguro"))))),"")</f>
        <v>Rara vez</v>
      </c>
      <c r="AA61" s="171">
        <f t="shared" ref="AA61:AA65" si="102">+Y61</f>
        <v>0.06</v>
      </c>
      <c r="AB61" s="173" t="str">
        <f t="shared" ref="AB61:AB62" si="103">IFERROR(IF(AC61="","",IF(AC61&lt;=0.6,"Moderado",IF(AC61&lt;=0.8,"Mayor","Catastrófico"))),"")</f>
        <v>Catastrófico</v>
      </c>
      <c r="AC61" s="171">
        <f>IFERROR(IF(AND(R60="Impacto",R61="Impacto"),(AC60-(+AC60*U61)),IF(R61="Impacto",(N60-(+N60*U61)),IF(R61="Probabilidad",AC60,""))),"")</f>
        <v>1</v>
      </c>
      <c r="AD61" s="174" t="str">
        <f>IFERROR(IF(OR(AND(Z61="Rara vez",AB61="Leve"),AND(Z61="Rara vez",AB61="Menor"),AND(Z61="Improbable",AB61="Leve")),"Bajo",IF(OR(AND(Z61="Rara vez",AB61="Moderado"),AND(Z61="Improbable",AB61="Menor"),AND(Z61="Improbable",AB61="Moderado"),AND(Z61="Posible",AB61="Leve"),AND(Z61="Posible",AB61="Menor"),AND(Z61="Posible",AB61="Moderado"),AND(Z61="Probable",AB61="Leve"),AND(Z61="Probable",AB61="Menor")),"Moderado",IF(OR(AND(Z61="Rara vez",AB61="Mayor"),AND(Z61="Improbable",AB61="Mayor"),AND(Z61="Posible",AB61="Mayor"),AND(Z61="Probable",AB61="Moderado"),AND(Z61="Probable",AB61="Mayor"),AND(Z61="Casi Seguro",AB61="Leve"),AND(Z61="Casi Seguro",AB61="Menor"),AND(Z61="Casi Seguro",AB61="Moderado"),AND(Z61="Casi Seguro",AB61="Mayor")),"Alto",IF(OR(AND(Z61="Rara vez",AB61="Catastrófico"),AND(Z61="Improbable",AB61="Catastrófico"),AND(Z61="Posible",AB61="Catastrófico"),AND(Z61="Probable",AB61="Catastrófico"),AND(Z61="Casi Seguro",AB61="Catastrófico")),"Extremo","")))),"")</f>
        <v>Extremo</v>
      </c>
      <c r="AE61" s="170"/>
      <c r="AF61" s="132"/>
      <c r="AG61" s="194"/>
      <c r="AH61" s="195"/>
      <c r="AI61" s="176"/>
      <c r="AJ61" s="181"/>
      <c r="AK61" s="522"/>
      <c r="AL61" s="535"/>
      <c r="AM61" s="535"/>
      <c r="AN61" s="535"/>
      <c r="AO61" s="535"/>
      <c r="AP61" s="535"/>
      <c r="AQ61" s="535"/>
      <c r="AR61" s="535"/>
      <c r="AS61" s="158"/>
      <c r="AT61" s="158"/>
      <c r="AU61" s="158"/>
      <c r="AV61" s="158"/>
      <c r="AW61" s="158"/>
      <c r="AX61" s="158"/>
      <c r="AY61" s="158"/>
      <c r="AZ61" s="158"/>
      <c r="BA61" s="158"/>
      <c r="BB61" s="158"/>
      <c r="BC61" s="158"/>
      <c r="BD61" s="158"/>
      <c r="BE61" s="158"/>
      <c r="BF61" s="158"/>
      <c r="BG61" s="158"/>
      <c r="BH61" s="158"/>
      <c r="BI61" s="158"/>
      <c r="BJ61" s="158"/>
    </row>
    <row r="62" spans="2:62" ht="78" customHeight="1" x14ac:dyDescent="0.2">
      <c r="B62" s="314"/>
      <c r="C62" s="324"/>
      <c r="D62" s="317"/>
      <c r="E62" s="313"/>
      <c r="F62" s="313"/>
      <c r="G62" s="304"/>
      <c r="H62" s="305"/>
      <c r="I62" s="306"/>
      <c r="J62" s="307"/>
      <c r="K62" s="308"/>
      <c r="L62" s="307">
        <f>IF(NOT(ISERROR(MATCH(K62,_xlfn.ANCHORARRAY(G73),0))),J75&amp;"Por favor no seleccionar los criterios de impacto",K62)</f>
        <v>0</v>
      </c>
      <c r="M62" s="306"/>
      <c r="N62" s="307"/>
      <c r="O62" s="309"/>
      <c r="P62" s="168">
        <v>3</v>
      </c>
      <c r="Q62" s="129" t="s">
        <v>208</v>
      </c>
      <c r="R62" s="169" t="str">
        <f t="shared" ref="R62:R65" si="104">IF(OR(S62="Preventivo",S62="Detectivo"),"Probabilidad",IF(S62="Correctivo","Impacto",""))</f>
        <v>Probabilidad</v>
      </c>
      <c r="S62" s="170" t="s">
        <v>112</v>
      </c>
      <c r="T62" s="170" t="s">
        <v>206</v>
      </c>
      <c r="U62" s="171" t="str">
        <f t="shared" si="100"/>
        <v>50%</v>
      </c>
      <c r="V62" s="170" t="s">
        <v>119</v>
      </c>
      <c r="W62" s="170" t="s">
        <v>115</v>
      </c>
      <c r="X62" s="170" t="s">
        <v>116</v>
      </c>
      <c r="Y62" s="172">
        <f>IFERROR(IF(AND(R61="Probabilidad",R62="Probabilidad"),(AA61-(+AA61*U62)),IF(AND(R61="Impacto",R62="Probabilidad"),(AA60-(+AA60*U62)),IF(R62="Impacto",AA61,""))),"")</f>
        <v>0.03</v>
      </c>
      <c r="Z62" s="173" t="str">
        <f t="shared" si="101"/>
        <v>Rara vez</v>
      </c>
      <c r="AA62" s="171">
        <f t="shared" si="102"/>
        <v>0.03</v>
      </c>
      <c r="AB62" s="173" t="str">
        <f t="shared" si="103"/>
        <v>Catastrófico</v>
      </c>
      <c r="AC62" s="171">
        <f>IFERROR(IF(AND(R61="Impacto",R62="Impacto"),(AC61-(+AC61*U62)),IF(AND(R61="Probabilidad",R62="Impacto"),(AC60-(+AC60*U62)),IF(R62="Probabilidad",AC61,""))),"")</f>
        <v>1</v>
      </c>
      <c r="AD62" s="174" t="str">
        <f>IFERROR(IF(OR(AND(Z62="Rara vez",AB62="Leve"),AND(Z62="Rara vez",AB62="Menor"),AND(Z62="Improbable",AB62="Leve")),"Bajo",IF(OR(AND(Z62="Rara vez",AB62="Moderado"),AND(Z62="Improbable",AB62="Menor"),AND(Z62="Improbable",AB62="Moderado"),AND(Z62="Posible",AB62="Leve"),AND(Z62="Posible",AB62="Menor"),AND(Z62="Posible",AB62="Moderado"),AND(Z62="Probable",AB62="Leve"),AND(Z62="Probable",AB62="Menor")),"Moderado",IF(OR(AND(Z62="Rara vez",AB62="Mayor"),AND(Z62="Improbable",AB62="Mayor"),AND(Z62="Posible",AB62="Mayor"),AND(Z62="Probable",AB62="Moderado"),AND(Z62="Probable",AB62="Mayor"),AND(Z62="Casi Seguro",AB62="Leve"),AND(Z62="Casi Seguro",AB62="Menor"),AND(Z62="Casi Seguro",AB62="Moderado"),AND(Z62="Casi Seguro",AB62="Mayor")),"Alto",IF(OR(AND(Z62="Rara vez",AB62="Catastrófico"),AND(Z62="Improbable",AB62="Catastrófico"),AND(Z62="Posible",AB62="Catastrófico"),AND(Z62="Probable",AB62="Catastrófico"),AND(Z62="Casi Seguro",AB62="Catastrófico")),"Extremo","")))),"")</f>
        <v>Extremo</v>
      </c>
      <c r="AE62" s="196"/>
      <c r="AF62" s="184"/>
      <c r="AG62" s="185"/>
      <c r="AH62" s="186"/>
      <c r="AI62" s="187"/>
      <c r="AJ62" s="188"/>
      <c r="AK62" s="523"/>
      <c r="AL62" s="535"/>
      <c r="AM62" s="535"/>
      <c r="AN62" s="535"/>
      <c r="AO62" s="535"/>
      <c r="AP62" s="535"/>
      <c r="AQ62" s="535"/>
      <c r="AR62" s="535"/>
      <c r="AS62" s="158"/>
      <c r="AT62" s="158"/>
      <c r="AU62" s="158"/>
      <c r="AV62" s="158"/>
      <c r="AW62" s="158"/>
      <c r="AX62" s="158"/>
      <c r="AY62" s="158"/>
      <c r="AZ62" s="158"/>
      <c r="BA62" s="158"/>
      <c r="BB62" s="158"/>
      <c r="BC62" s="158"/>
      <c r="BD62" s="158"/>
      <c r="BE62" s="158"/>
      <c r="BF62" s="158"/>
      <c r="BG62" s="158"/>
      <c r="BH62" s="158"/>
      <c r="BI62" s="158"/>
      <c r="BJ62" s="158"/>
    </row>
    <row r="63" spans="2:62" ht="89.25" x14ac:dyDescent="0.2">
      <c r="B63" s="314"/>
      <c r="C63" s="324"/>
      <c r="D63" s="317"/>
      <c r="E63" s="313"/>
      <c r="F63" s="313"/>
      <c r="G63" s="304"/>
      <c r="H63" s="305"/>
      <c r="I63" s="306"/>
      <c r="J63" s="307"/>
      <c r="K63" s="308"/>
      <c r="L63" s="307">
        <f>IF(NOT(ISERROR(MATCH(K63,_xlfn.ANCHORARRAY(G74),0))),J76&amp;"Por favor no seleccionar los criterios de impacto",K63)</f>
        <v>0</v>
      </c>
      <c r="M63" s="306"/>
      <c r="N63" s="307"/>
      <c r="O63" s="309"/>
      <c r="P63" s="168">
        <v>4</v>
      </c>
      <c r="Q63" s="129" t="s">
        <v>209</v>
      </c>
      <c r="R63" s="169" t="s">
        <v>118</v>
      </c>
      <c r="S63" s="170" t="s">
        <v>112</v>
      </c>
      <c r="T63" s="170" t="s">
        <v>206</v>
      </c>
      <c r="U63" s="171" t="str">
        <f t="shared" si="100"/>
        <v>50%</v>
      </c>
      <c r="V63" s="170" t="s">
        <v>119</v>
      </c>
      <c r="W63" s="170" t="s">
        <v>115</v>
      </c>
      <c r="X63" s="170" t="s">
        <v>116</v>
      </c>
      <c r="Y63" s="172">
        <f t="shared" ref="Y63:Y65" si="105">IFERROR(IF(AND(R62="Probabilidad",R63="Probabilidad"),(AA62-(+AA62*U63)),IF(AND(R62="Impacto",R63="Probabilidad"),(AA61-(+AA61*U63)),IF(R63="Impacto",AA62,""))),"")</f>
        <v>1.4999999999999999E-2</v>
      </c>
      <c r="Z63" s="197" t="s">
        <v>156</v>
      </c>
      <c r="AA63" s="171">
        <f t="shared" si="102"/>
        <v>1.4999999999999999E-2</v>
      </c>
      <c r="AB63" s="173" t="str">
        <f t="shared" ref="AB63" si="106">IFERROR(IF(AC63="","",IF(AC63&lt;=0.2,"Leve",IF(AC63&lt;=0.4,"Menor",IF(AC63&lt;=0.6,"Moderado",IF(AC63&lt;=0.8,"Mayor","Catastrófico"))))),"")</f>
        <v>Catastrófico</v>
      </c>
      <c r="AC63" s="171">
        <f t="shared" ref="AC63:AC65" si="107">IFERROR(IF(AND(R62="Impacto",R63="Impacto"),(AC62-(+AC62*U63)),IF(AND(R62="Probabilidad",R63="Impacto"),(AC61-(+AC61*U63)),IF(R63="Probabilidad",AC62,""))),"")</f>
        <v>1</v>
      </c>
      <c r="AD63" s="174" t="str">
        <f>IFERROR(IF(OR(AND(Z63="Rara vez",AB63="Leve"),AND(Z63="Rara vez",AB63="Menor"),AND(Z63="Improbable",AB63="Leve")),"Bajo",IF(OR(AND(Z63="Rara vez",AB63="Moderado"),AND(Z63="Improbable",AB63="Menor"),AND(Z63="Improbable",AB63="Moderado"),AND(Z63="Posible",AB63="Leve"),AND(Z63="Posible",AB63="Menor"),AND(Z63="Posible",AB63="Moderado"),AND(Z63="Probable",AB63="Leve"),AND(Z63="Probable",AB63="Menor")),"Moderado",IF(OR(AND(Z63="Rara vez",AB63="Mayor"),AND(Z63="Improbable",AB63="Mayor"),AND(Z63="Posible",AB63="Mayor"),AND(Z63="Probable",AB63="Moderado"),AND(Z63="Probable",AB63="Mayor"),AND(Z63="Casi Seguro",AB63="Leve"),AND(Z63="Casi Seguro",AB63="Menor"),AND(Z63="Casi Seguro",AB63="Moderado"),AND(Z63="Casi Seguro",AB63="Mayor")),"Alto",IF(OR(AND(Z63="Rara vez",AB63="Catastrófico"),AND(Z63="Improbable",AB63="Catastrófico"),AND(Z63="Posible",AB63="Catastrófico"),AND(Z63="Probable",AB63="Catastrófico"),AND(Z63="Casi Seguro",AB63="Catastrófico")),"Extremo","")))),"")</f>
        <v>Extremo</v>
      </c>
      <c r="AE63" s="170" t="s">
        <v>120</v>
      </c>
      <c r="AF63" s="136"/>
      <c r="AG63" s="136"/>
      <c r="AH63" s="131"/>
      <c r="AI63" s="136"/>
      <c r="AJ63" s="136"/>
      <c r="AK63" s="200"/>
      <c r="AL63" s="535"/>
      <c r="AM63" s="535"/>
      <c r="AN63" s="535"/>
      <c r="AO63" s="535"/>
      <c r="AP63" s="535"/>
      <c r="AQ63" s="535"/>
      <c r="AR63" s="535"/>
      <c r="AS63" s="158"/>
      <c r="AT63" s="158"/>
      <c r="AU63" s="158"/>
      <c r="AV63" s="158"/>
      <c r="AW63" s="158"/>
      <c r="AX63" s="158"/>
      <c r="AY63" s="158"/>
      <c r="AZ63" s="158"/>
      <c r="BA63" s="158"/>
      <c r="BB63" s="158"/>
      <c r="BC63" s="158"/>
      <c r="BD63" s="158"/>
      <c r="BE63" s="158"/>
      <c r="BF63" s="158"/>
      <c r="BG63" s="158"/>
      <c r="BH63" s="158"/>
      <c r="BI63" s="158"/>
      <c r="BJ63" s="158"/>
    </row>
    <row r="64" spans="2:62" x14ac:dyDescent="0.2">
      <c r="B64" s="314"/>
      <c r="C64" s="324"/>
      <c r="D64" s="317"/>
      <c r="E64" s="313"/>
      <c r="F64" s="313"/>
      <c r="G64" s="304"/>
      <c r="H64" s="305"/>
      <c r="I64" s="306"/>
      <c r="J64" s="307"/>
      <c r="K64" s="308"/>
      <c r="L64" s="307">
        <f>IF(NOT(ISERROR(MATCH(K64,_xlfn.ANCHORARRAY(G75),0))),J77&amp;"Por favor no seleccionar los criterios de impacto",K64)</f>
        <v>0</v>
      </c>
      <c r="M64" s="306"/>
      <c r="N64" s="307"/>
      <c r="O64" s="309"/>
      <c r="P64" s="168">
        <v>5</v>
      </c>
      <c r="Q64" s="127"/>
      <c r="R64" s="169" t="str">
        <f t="shared" si="104"/>
        <v/>
      </c>
      <c r="S64" s="170"/>
      <c r="T64" s="170"/>
      <c r="U64" s="171" t="str">
        <f t="shared" si="100"/>
        <v/>
      </c>
      <c r="V64" s="170"/>
      <c r="W64" s="170"/>
      <c r="X64" s="170"/>
      <c r="Y64" s="172" t="str">
        <f t="shared" si="105"/>
        <v/>
      </c>
      <c r="Z64" s="173" t="str">
        <f t="shared" ref="Z64:Z65" si="108">IFERROR(IF(Y64="","",IF(Y64&lt;=0.2,"Rara vez",IF(Y64&lt;=0.4,"Improbable",IF(Y64&lt;=0.6,"Posible",IF(Y64&lt;=0.8,"Probable","Casi Seguro"))))),"")</f>
        <v/>
      </c>
      <c r="AA64" s="171" t="str">
        <f t="shared" si="102"/>
        <v/>
      </c>
      <c r="AB64" s="173" t="str">
        <f t="shared" ref="AB64:AB65" si="109">IFERROR(IF(AC64="","",IF(AC64&lt;=0.6,"Moderado",IF(AC64&lt;=0.8,"Mayor","Catastrófico"))),"")</f>
        <v/>
      </c>
      <c r="AC64" s="171" t="str">
        <f t="shared" si="107"/>
        <v/>
      </c>
      <c r="AD64" s="174" t="str">
        <f t="shared" ref="AD64:AD65" si="110">IFERROR(IF(OR(AND(Z64="Muy Baja",AB64="Leve"),AND(Z64="Muy Baja",AB64="Menor"),AND(Z64="Baja",AB64="Leve")),"Bajo",IF(OR(AND(Z64="Muy baja",AB64="Moderado"),AND(Z64="Baja",AB64="Menor"),AND(Z64="Baja",AB64="Moderado"),AND(Z64="Media",AB64="Leve"),AND(Z64="Media",AB64="Menor"),AND(Z64="Media",AB64="Moderado"),AND(Z64="Alta",AB64="Leve"),AND(Z64="Alta",AB64="Menor")),"Moderado",IF(OR(AND(Z64="Muy Baja",AB64="Mayor"),AND(Z64="Baja",AB64="Mayor"),AND(Z64="Media",AB64="Mayor"),AND(Z64="Alta",AB64="Moderado"),AND(Z64="Alta",AB64="Mayor"),AND(Z64="Muy Alta",AB64="Leve"),AND(Z64="Muy Alta",AB64="Menor"),AND(Z64="Muy Alta",AB64="Moderado"),AND(Z64="Muy Alta",AB64="Mayor")),"Alto",IF(OR(AND(Z64="Muy Baja",AB64="Catastrófico"),AND(Z64="Baja",AB64="Catastrófico"),AND(Z64="Media",AB64="Catastrófico"),AND(Z64="Alta",AB64="Catastrófico"),AND(Z64="Muy Alta",AB64="Catastrófico")),"Extremo","")))),"")</f>
        <v/>
      </c>
      <c r="AE64" s="179"/>
      <c r="AF64" s="192"/>
      <c r="AG64" s="193"/>
      <c r="AH64" s="176"/>
      <c r="AI64" s="176"/>
      <c r="AJ64" s="177"/>
      <c r="AK64" s="522"/>
      <c r="AL64" s="535"/>
      <c r="AM64" s="535"/>
      <c r="AN64" s="535"/>
      <c r="AO64" s="535"/>
      <c r="AP64" s="535"/>
      <c r="AQ64" s="535"/>
      <c r="AR64" s="535"/>
      <c r="AS64" s="158"/>
      <c r="AT64" s="158"/>
      <c r="AU64" s="158"/>
      <c r="AV64" s="158"/>
      <c r="AW64" s="158"/>
      <c r="AX64" s="158"/>
      <c r="AY64" s="158"/>
      <c r="AZ64" s="158"/>
      <c r="BA64" s="158"/>
      <c r="BB64" s="158"/>
      <c r="BC64" s="158"/>
      <c r="BD64" s="158"/>
      <c r="BE64" s="158"/>
      <c r="BF64" s="158"/>
      <c r="BG64" s="158"/>
      <c r="BH64" s="158"/>
      <c r="BI64" s="158"/>
      <c r="BJ64" s="158"/>
    </row>
    <row r="65" spans="2:62" ht="20.25" customHeight="1" x14ac:dyDescent="0.2">
      <c r="B65" s="314"/>
      <c r="C65" s="324"/>
      <c r="D65" s="317"/>
      <c r="E65" s="313"/>
      <c r="F65" s="313"/>
      <c r="G65" s="304"/>
      <c r="H65" s="305"/>
      <c r="I65" s="306"/>
      <c r="J65" s="307"/>
      <c r="K65" s="308"/>
      <c r="L65" s="307">
        <f>IF(NOT(ISERROR(MATCH(K65,_xlfn.ANCHORARRAY(G76),0))),J78&amp;"Por favor no seleccionar los criterios de impacto",K65)</f>
        <v>0</v>
      </c>
      <c r="M65" s="306"/>
      <c r="N65" s="307"/>
      <c r="O65" s="309"/>
      <c r="P65" s="168">
        <v>6</v>
      </c>
      <c r="Q65" s="127"/>
      <c r="R65" s="169" t="str">
        <f t="shared" si="104"/>
        <v/>
      </c>
      <c r="S65" s="170"/>
      <c r="T65" s="170"/>
      <c r="U65" s="171" t="str">
        <f t="shared" si="100"/>
        <v/>
      </c>
      <c r="V65" s="170"/>
      <c r="W65" s="170"/>
      <c r="X65" s="170"/>
      <c r="Y65" s="172" t="str">
        <f t="shared" si="105"/>
        <v/>
      </c>
      <c r="Z65" s="173" t="str">
        <f t="shared" si="108"/>
        <v/>
      </c>
      <c r="AA65" s="171" t="str">
        <f t="shared" si="102"/>
        <v/>
      </c>
      <c r="AB65" s="173" t="str">
        <f t="shared" si="109"/>
        <v/>
      </c>
      <c r="AC65" s="171" t="str">
        <f t="shared" si="107"/>
        <v/>
      </c>
      <c r="AD65" s="174" t="str">
        <f t="shared" si="110"/>
        <v/>
      </c>
      <c r="AE65" s="179"/>
      <c r="AF65" s="192"/>
      <c r="AG65" s="193"/>
      <c r="AH65" s="176"/>
      <c r="AI65" s="176"/>
      <c r="AJ65" s="177"/>
      <c r="AK65" s="522"/>
      <c r="AL65" s="535"/>
      <c r="AM65" s="535"/>
      <c r="AN65" s="535"/>
      <c r="AO65" s="535"/>
      <c r="AP65" s="535"/>
      <c r="AQ65" s="535"/>
      <c r="AR65" s="535"/>
      <c r="AS65" s="158"/>
      <c r="AT65" s="158"/>
      <c r="AU65" s="158"/>
      <c r="AV65" s="158"/>
      <c r="AW65" s="158"/>
      <c r="AX65" s="158"/>
      <c r="AY65" s="158"/>
      <c r="AZ65" s="158"/>
      <c r="BA65" s="158"/>
      <c r="BB65" s="158"/>
      <c r="BC65" s="158"/>
      <c r="BD65" s="158"/>
      <c r="BE65" s="158"/>
      <c r="BF65" s="158"/>
      <c r="BG65" s="158"/>
      <c r="BH65" s="158"/>
      <c r="BI65" s="158"/>
      <c r="BJ65" s="158"/>
    </row>
    <row r="66" spans="2:62" s="163" customFormat="1" ht="116.25" customHeight="1" x14ac:dyDescent="0.25">
      <c r="B66" s="314" t="s">
        <v>210</v>
      </c>
      <c r="C66" s="324" t="s">
        <v>201</v>
      </c>
      <c r="D66" s="317" t="s">
        <v>211</v>
      </c>
      <c r="E66" s="313" t="s">
        <v>127</v>
      </c>
      <c r="F66" s="313" t="s">
        <v>212</v>
      </c>
      <c r="G66" s="304" t="s">
        <v>213</v>
      </c>
      <c r="H66" s="305" t="s">
        <v>109</v>
      </c>
      <c r="I66" s="306" t="str">
        <f>IF(H66&lt;=0,"",IF(H66="No se ha presentado en los últimos 5 años","Rara vez",IF(H66="Al menos 1 vez en los últimos 5 años","Improbable",IF(H66="Al menos 1 vez en los últimos 2 años","Posible",IF(H66="Al menos 1 vez en el último año","Probable",IF(H66="Más de 1 vez al año","Casi Seguro"))))))</f>
        <v>Rara vez</v>
      </c>
      <c r="J66" s="307">
        <f>IF(I66="","",IF(I66="Rara vez",0.2,IF(I66="Improbable",0.4,IF(I66="Posible",0.6,IF(I66="Probable",0.8,IF(I66="Casi Seguro",1,))))))</f>
        <v>0.2</v>
      </c>
      <c r="K66" s="308" t="s">
        <v>214</v>
      </c>
      <c r="L66" s="307" t="str">
        <f>IF(NOT(ISERROR(MATCH(K66,'Tabla Impacto'!$B$220:$B$222,0))),'Tabla Impacto'!$F$222&amp;"Por favor no seleccionar los criterios de impacto(Criterios para calificar el impacto)",K66)</f>
        <v xml:space="preserve">Responder afirmativamente de UNA a CINCO preguntas </v>
      </c>
      <c r="M66" s="306" t="str">
        <f>IF(OR(L66='Tabla Impacto'!$C$5),"Moderado",IF(OR(L66='Tabla Impacto'!$C$6),"Mayor",IF(OR(L66='Tabla Impacto'!$C$7),"Catastrófico","")))</f>
        <v>Moderado</v>
      </c>
      <c r="N66" s="307">
        <f>IF(M66="","",IF(M66="Leve",0.2,IF(M66="Menor",0.4,IF(M66="Moderado",0.6,IF(M66="Mayor",0.8,IF(M66="Catastrófico",1,))))))</f>
        <v>0.6</v>
      </c>
      <c r="O66" s="309" t="str">
        <f>IF(OR(AND(I66="Rara vez",M66="Leve"),AND(I66="Rara vez",M66="Menor"),AND(I66="Improbable",M66="Leve")),"Bajo",IF(OR(AND(I66="Rara vez",M66="Moderado"),AND(I66="Improbable",M66="Menor"),AND(I66="Improbable",M66="Moderado"),AND(I66="Posible",M66="Leve"),AND(I66="Posible",M66="Menor"),AND(I66="Posible",M66="Moderado"),AND(I66="Probable",M66="Leve"),AND(I66="Probable",M66="Menor")),"Moderado",IF(OR(AND(I66="Rara vez",M66="Mayor"),AND(I66="Improbable",M66="Mayor"),AND(I66="Posible",M66="Mayor"),AND(I66="Probable",M66="Moderado"),AND(I66="Probable",M66="Mayor"),AND(I66="Casi Seguro",M66="Leve"),AND(I66="Casi Seguro",M66="Menor"),AND(I66="Casi Seguro",M66="Moderado"),AND(I66="Casi Seguro",M66="Mayor")),"Alto",IF(OR(AND(I66="Rara vez",M66="Catastrófico"),AND(I66="Improbable",M66="Catastrófico"),AND(I66="Posible",M66="Catastrófico"),AND(I66="Probable",M66="Catastrófico"),AND(I66="Casi Seguro",M66="Catastrófico")),"Extremo",""))))</f>
        <v>Moderado</v>
      </c>
      <c r="P66" s="168">
        <v>1</v>
      </c>
      <c r="Q66" s="129" t="s">
        <v>215</v>
      </c>
      <c r="R66" s="169" t="str">
        <f>IF(OR(S66="Preventivo",S66="Detectivo"),"Probabilidad",IF(S66="Correctivo","Impacto",""))</f>
        <v>Probabilidad</v>
      </c>
      <c r="S66" s="170" t="s">
        <v>112</v>
      </c>
      <c r="T66" s="170" t="s">
        <v>206</v>
      </c>
      <c r="U66" s="171" t="str">
        <f>IF(AND(S66="Preventivo",T66="Automático"),"50%",IF(AND(S66="Preventivo",T66="Manual"),"40%",IF(AND(S66="Detectivo",T66="Automático"),"40%",IF(AND(S66="Detectivo",T66="Manual"),"30%",IF(AND(S66="Correctivo",T66="Automático"),"35%",IF(AND(S66="Correctivo",T66="Manual"),"25%",""))))))</f>
        <v>50%</v>
      </c>
      <c r="V66" s="170" t="s">
        <v>119</v>
      </c>
      <c r="W66" s="170" t="s">
        <v>115</v>
      </c>
      <c r="X66" s="170" t="s">
        <v>116</v>
      </c>
      <c r="Y66" s="172">
        <f>IFERROR(IF(R66="Probabilidad",(J66-(+J66*U66)),IF(R66="Impacto",J66,"")),"")</f>
        <v>0.1</v>
      </c>
      <c r="Z66" s="173" t="str">
        <f>IFERROR(IF(Y66="","",IF(Y66&lt;=0.2,"Rara vez",IF(Y66&lt;=0.4,"Improbable",IF(Y66&lt;=0.6,"Posible",IF(Y66&lt;=0.8,"Probable","Casi Seguro"))))),"")</f>
        <v>Rara vez</v>
      </c>
      <c r="AA66" s="171">
        <f>+Y66</f>
        <v>0.1</v>
      </c>
      <c r="AB66" s="173" t="str">
        <f>IFERROR(IF(AC66="","",IF(AC66&lt;=0.6,"Moderado",IF(AC66&lt;=0.8,"Mayor","Catastrófico"))),"")</f>
        <v>Moderado</v>
      </c>
      <c r="AC66" s="171">
        <f>IFERROR(IF(R66="Impacto",(N66-(+N66*U66)),IF(R66="Probabilidad",N66,"")),"")</f>
        <v>0.6</v>
      </c>
      <c r="AD66" s="174" t="str">
        <f>IFERROR(IF(OR(AND(Z66="Rara vez",AB66="Leve"),AND(Z66="Rara vez",AB66="Menor"),AND(Z66="Improbable",AB66="Leve")),"Bajo",IF(OR(AND(Z66="Rara vez",AB66="Moderado"),AND(Z66="Improbable",AB66="Menor"),AND(Z66="Improbable",AB66="Moderado"),AND(Z66="Posible",AB66="Leve"),AND(Z66="Posible",AB66="Menor"),AND(Z66="Posible",AB66="Moderado"),AND(Z66="Probable",AB66="Leve"),AND(Z66="Probable",AB66="Menor")),"Moderado",IF(OR(AND(Z66="Rara vez",AB66="Mayor"),AND(Z66="Improbable",AB66="Mayor"),AND(Z66="Posible",AB66="Mayor"),AND(Z66="Probable",AB66="Moderado"),AND(Z66="Probable",AB66="Mayor"),AND(Z66="Casi Seguro",AB66="Leve"),AND(Z66="Casi Seguro",AB66="Menor"),AND(Z66="Casi Seguro",AB66="Moderado"),AND(Z66="Casi Seguro",AB66="Mayor")),"Alto",IF(OR(AND(Z66="Rara vez",AB66="Catastrófico"),AND(Z66="Improbable",AB66="Catastrófico"),AND(Z66="Posible",AB66="Catastrófico"),AND(Z66="Probable",AB66="Catastrófico"),AND(Z66="Casi Seguro",AB66="Catastrófico")),"Extremo","")))),"")</f>
        <v>Moderado</v>
      </c>
      <c r="AE66" s="170"/>
      <c r="AF66" s="123"/>
      <c r="AG66" s="123"/>
      <c r="AH66" s="175"/>
      <c r="AI66" s="176"/>
      <c r="AJ66" s="177"/>
      <c r="AK66" s="522"/>
      <c r="AL66" s="534"/>
      <c r="AM66" s="534"/>
      <c r="AN66" s="534"/>
      <c r="AO66" s="534"/>
      <c r="AP66" s="534"/>
      <c r="AQ66" s="534"/>
      <c r="AR66" s="534"/>
      <c r="AS66" s="178"/>
      <c r="AT66" s="178"/>
      <c r="AU66" s="178"/>
      <c r="AV66" s="178"/>
      <c r="AW66" s="178"/>
      <c r="AX66" s="178"/>
      <c r="AY66" s="178"/>
      <c r="AZ66" s="178"/>
      <c r="BA66" s="178"/>
      <c r="BB66" s="178"/>
      <c r="BC66" s="178"/>
      <c r="BD66" s="178"/>
      <c r="BE66" s="178"/>
      <c r="BF66" s="178"/>
      <c r="BG66" s="178"/>
      <c r="BH66" s="178"/>
      <c r="BI66" s="178"/>
      <c r="BJ66" s="178"/>
    </row>
    <row r="67" spans="2:62" ht="116.25" customHeight="1" x14ac:dyDescent="0.2">
      <c r="B67" s="314"/>
      <c r="C67" s="324"/>
      <c r="D67" s="317"/>
      <c r="E67" s="313"/>
      <c r="F67" s="313"/>
      <c r="G67" s="304"/>
      <c r="H67" s="305"/>
      <c r="I67" s="306"/>
      <c r="J67" s="307"/>
      <c r="K67" s="308"/>
      <c r="L67" s="307">
        <f>IF(NOT(ISERROR(MATCH(K67,_xlfn.ANCHORARRAY(G78),0))),J80&amp;"Por favor no seleccionar los criterios de impacto",K67)</f>
        <v>0</v>
      </c>
      <c r="M67" s="306"/>
      <c r="N67" s="307"/>
      <c r="O67" s="309"/>
      <c r="P67" s="168">
        <v>2</v>
      </c>
      <c r="Q67" s="129" t="s">
        <v>216</v>
      </c>
      <c r="R67" s="169" t="str">
        <f>IF(OR(S67="Preventivo",S67="Detectivo"),"Probabilidad",IF(S67="Correctivo","Impacto",""))</f>
        <v>Probabilidad</v>
      </c>
      <c r="S67" s="170" t="s">
        <v>133</v>
      </c>
      <c r="T67" s="170" t="s">
        <v>206</v>
      </c>
      <c r="U67" s="171" t="str">
        <f t="shared" ref="U67:U71" si="111">IF(AND(S67="Preventivo",T67="Automático"),"50%",IF(AND(S67="Preventivo",T67="Manual"),"40%",IF(AND(S67="Detectivo",T67="Automático"),"40%",IF(AND(S67="Detectivo",T67="Manual"),"30%",IF(AND(S67="Correctivo",T67="Automático"),"35%",IF(AND(S67="Correctivo",T67="Manual"),"25%",""))))))</f>
        <v>40%</v>
      </c>
      <c r="V67" s="170" t="s">
        <v>114</v>
      </c>
      <c r="W67" s="170" t="s">
        <v>115</v>
      </c>
      <c r="X67" s="170" t="s">
        <v>116</v>
      </c>
      <c r="Y67" s="172">
        <f>IFERROR(IF(AND(R66="Probabilidad",R67="Probabilidad"),(AA66-(+AA66*U67)),IF(R67="Probabilidad",(J66-(+J66*U67)),IF(R67="Impacto",AA66,""))),"")</f>
        <v>0.06</v>
      </c>
      <c r="Z67" s="173" t="str">
        <f t="shared" ref="Z67:Z68" si="112">IFERROR(IF(Y67="","",IF(Y67&lt;=0.2,"Rara vez",IF(Y67&lt;=0.4,"Improbable",IF(Y67&lt;=0.6,"Posible",IF(Y67&lt;=0.8,"Probable","Casi Seguro"))))),"")</f>
        <v>Rara vez</v>
      </c>
      <c r="AA67" s="171">
        <f t="shared" ref="AA67:AA71" si="113">+Y67</f>
        <v>0.06</v>
      </c>
      <c r="AB67" s="173" t="str">
        <f t="shared" ref="AB67:AB68" si="114">IFERROR(IF(AC67="","",IF(AC67&lt;=0.6,"Moderado",IF(AC67&lt;=0.8,"Mayor","Catastrófico"))),"")</f>
        <v>Moderado</v>
      </c>
      <c r="AC67" s="171">
        <f>IFERROR(IF(AND(R66="Impacto",R67="Impacto"),(AC66-(+AC66*U67)),IF(R67="Impacto",(N66-(+N66*U67)),IF(R67="Probabilidad",AC66,""))),"")</f>
        <v>0.6</v>
      </c>
      <c r="AD67" s="174" t="str">
        <f>IFERROR(IF(OR(AND(Z67="Rara vez",AB67="Leve"),AND(Z67="Rara vez",AB67="Menor"),AND(Z67="Improbable",AB67="Leve")),"Bajo",IF(OR(AND(Z67="Rara vez",AB67="Moderado"),AND(Z67="Improbable",AB67="Menor"),AND(Z67="Improbable",AB67="Moderado"),AND(Z67="Posible",AB67="Leve"),AND(Z67="Posible",AB67="Menor"),AND(Z67="Posible",AB67="Moderado"),AND(Z67="Probable",AB67="Leve"),AND(Z67="Probable",AB67="Menor")),"Moderado",IF(OR(AND(Z67="Rara vez",AB67="Mayor"),AND(Z67="Improbable",AB67="Mayor"),AND(Z67="Posible",AB67="Mayor"),AND(Z67="Probable",AB67="Moderado"),AND(Z67="Probable",AB67="Mayor"),AND(Z67="Casi Seguro",AB67="Leve"),AND(Z67="Casi Seguro",AB67="Menor"),AND(Z67="Casi Seguro",AB67="Moderado"),AND(Z67="Casi Seguro",AB67="Mayor")),"Alto",IF(OR(AND(Z67="Rara vez",AB67="Catastrófico"),AND(Z67="Improbable",AB67="Catastrófico"),AND(Z67="Posible",AB67="Catastrófico"),AND(Z67="Probable",AB67="Catastrófico"),AND(Z67="Casi Seguro",AB67="Catastrófico")),"Extremo","")))),"")</f>
        <v>Moderado</v>
      </c>
      <c r="AE67" s="170"/>
      <c r="AF67" s="132"/>
      <c r="AG67" s="194"/>
      <c r="AH67" s="195"/>
      <c r="AI67" s="176"/>
      <c r="AJ67" s="181"/>
      <c r="AK67" s="522"/>
      <c r="AL67" s="535"/>
      <c r="AM67" s="535"/>
      <c r="AN67" s="535"/>
      <c r="AO67" s="535"/>
      <c r="AP67" s="535"/>
      <c r="AQ67" s="535"/>
      <c r="AR67" s="535"/>
      <c r="AS67" s="158"/>
      <c r="AT67" s="158"/>
      <c r="AU67" s="158"/>
      <c r="AV67" s="158"/>
      <c r="AW67" s="158"/>
      <c r="AX67" s="158"/>
      <c r="AY67" s="158"/>
      <c r="AZ67" s="158"/>
      <c r="BA67" s="158"/>
      <c r="BB67" s="158"/>
      <c r="BC67" s="158"/>
      <c r="BD67" s="158"/>
      <c r="BE67" s="158"/>
      <c r="BF67" s="158"/>
      <c r="BG67" s="158"/>
      <c r="BH67" s="158"/>
      <c r="BI67" s="158"/>
      <c r="BJ67" s="158"/>
    </row>
    <row r="68" spans="2:62" ht="116.25" customHeight="1" x14ac:dyDescent="0.2">
      <c r="B68" s="314"/>
      <c r="C68" s="324"/>
      <c r="D68" s="317"/>
      <c r="E68" s="313"/>
      <c r="F68" s="313"/>
      <c r="G68" s="304"/>
      <c r="H68" s="305"/>
      <c r="I68" s="306"/>
      <c r="J68" s="307"/>
      <c r="K68" s="308"/>
      <c r="L68" s="307">
        <f>IF(NOT(ISERROR(MATCH(K68,_xlfn.ANCHORARRAY(G79),0))),J81&amp;"Por favor no seleccionar los criterios de impacto",K68)</f>
        <v>0</v>
      </c>
      <c r="M68" s="306"/>
      <c r="N68" s="307"/>
      <c r="O68" s="309"/>
      <c r="P68" s="168">
        <v>3</v>
      </c>
      <c r="Q68" s="129" t="s">
        <v>217</v>
      </c>
      <c r="R68" s="169" t="str">
        <f t="shared" ref="R68" si="115">IF(OR(S68="Preventivo",S68="Detectivo"),"Probabilidad",IF(S68="Correctivo","Impacto",""))</f>
        <v>Probabilidad</v>
      </c>
      <c r="S68" s="170" t="s">
        <v>112</v>
      </c>
      <c r="T68" s="170" t="s">
        <v>206</v>
      </c>
      <c r="U68" s="171" t="str">
        <f t="shared" si="111"/>
        <v>50%</v>
      </c>
      <c r="V68" s="170" t="s">
        <v>114</v>
      </c>
      <c r="W68" s="170" t="s">
        <v>115</v>
      </c>
      <c r="X68" s="170" t="s">
        <v>116</v>
      </c>
      <c r="Y68" s="172">
        <f>IFERROR(IF(AND(R67="Probabilidad",R68="Probabilidad"),(AA67-(+AA67*U68)),IF(AND(R67="Impacto",R68="Probabilidad"),(AA66-(+AA66*U68)),IF(R68="Impacto",AA67,""))),"")</f>
        <v>0.03</v>
      </c>
      <c r="Z68" s="173" t="str">
        <f t="shared" si="112"/>
        <v>Rara vez</v>
      </c>
      <c r="AA68" s="171">
        <f t="shared" si="113"/>
        <v>0.03</v>
      </c>
      <c r="AB68" s="173" t="str">
        <f t="shared" si="114"/>
        <v>Moderado</v>
      </c>
      <c r="AC68" s="171">
        <f>IFERROR(IF(AND(R67="Impacto",R68="Impacto"),(AC67-(+AC67*U68)),IF(AND(R67="Probabilidad",R68="Impacto"),(AC66-(+AC66*U68)),IF(R68="Probabilidad",AC67,""))),"")</f>
        <v>0.6</v>
      </c>
      <c r="AD68" s="174" t="str">
        <f>IFERROR(IF(OR(AND(Z68="Rara vez",AB68="Leve"),AND(Z68="Rara vez",AB68="Menor"),AND(Z68="Improbable",AB68="Leve")),"Bajo",IF(OR(AND(Z68="Rara vez",AB68="Moderado"),AND(Z68="Improbable",AB68="Menor"),AND(Z68="Improbable",AB68="Moderado"),AND(Z68="Posible",AB68="Leve"),AND(Z68="Posible",AB68="Menor"),AND(Z68="Posible",AB68="Moderado"),AND(Z68="Probable",AB68="Leve"),AND(Z68="Probable",AB68="Menor")),"Moderado",IF(OR(AND(Z68="Rara vez",AB68="Mayor"),AND(Z68="Improbable",AB68="Mayor"),AND(Z68="Posible",AB68="Mayor"),AND(Z68="Probable",AB68="Moderado"),AND(Z68="Probable",AB68="Mayor"),AND(Z68="Casi Seguro",AB68="Leve"),AND(Z68="Casi Seguro",AB68="Menor"),AND(Z68="Casi Seguro",AB68="Moderado"),AND(Z68="Casi Seguro",AB68="Mayor")),"Alto",IF(OR(AND(Z68="Rara vez",AB68="Catastrófico"),AND(Z68="Improbable",AB68="Catastrófico"),AND(Z68="Posible",AB68="Catastrófico"),AND(Z68="Probable",AB68="Catastrófico"),AND(Z68="Casi Seguro",AB68="Catastrófico")),"Extremo","")))),"")</f>
        <v>Moderado</v>
      </c>
      <c r="AE68" s="196"/>
      <c r="AF68" s="184"/>
      <c r="AG68" s="185"/>
      <c r="AH68" s="186"/>
      <c r="AI68" s="187"/>
      <c r="AJ68" s="188"/>
      <c r="AK68" s="523"/>
      <c r="AL68" s="535"/>
      <c r="AM68" s="535"/>
      <c r="AN68" s="535"/>
      <c r="AO68" s="535"/>
      <c r="AP68" s="535"/>
      <c r="AQ68" s="535"/>
      <c r="AR68" s="535"/>
      <c r="AS68" s="158"/>
      <c r="AT68" s="158"/>
      <c r="AU68" s="158"/>
      <c r="AV68" s="158"/>
      <c r="AW68" s="158"/>
      <c r="AX68" s="158"/>
      <c r="AY68" s="158"/>
      <c r="AZ68" s="158"/>
      <c r="BA68" s="158"/>
      <c r="BB68" s="158"/>
      <c r="BC68" s="158"/>
      <c r="BD68" s="158"/>
      <c r="BE68" s="158"/>
      <c r="BF68" s="158"/>
      <c r="BG68" s="158"/>
      <c r="BH68" s="158"/>
      <c r="BI68" s="158"/>
      <c r="BJ68" s="158"/>
    </row>
    <row r="69" spans="2:62" ht="116.25" customHeight="1" x14ac:dyDescent="0.2">
      <c r="B69" s="314"/>
      <c r="C69" s="324"/>
      <c r="D69" s="317"/>
      <c r="E69" s="313"/>
      <c r="F69" s="313"/>
      <c r="G69" s="304"/>
      <c r="H69" s="305"/>
      <c r="I69" s="306"/>
      <c r="J69" s="307"/>
      <c r="K69" s="308"/>
      <c r="L69" s="307">
        <f>IF(NOT(ISERROR(MATCH(K69,_xlfn.ANCHORARRAY(G80),0))),J82&amp;"Por favor no seleccionar los criterios de impacto",K69)</f>
        <v>0</v>
      </c>
      <c r="M69" s="306"/>
      <c r="N69" s="307"/>
      <c r="O69" s="309"/>
      <c r="P69" s="168">
        <v>4</v>
      </c>
      <c r="Q69" s="129" t="s">
        <v>218</v>
      </c>
      <c r="R69" s="169" t="s">
        <v>118</v>
      </c>
      <c r="S69" s="170" t="s">
        <v>133</v>
      </c>
      <c r="T69" s="170" t="s">
        <v>113</v>
      </c>
      <c r="U69" s="171" t="str">
        <f t="shared" si="111"/>
        <v>30%</v>
      </c>
      <c r="V69" s="170" t="s">
        <v>119</v>
      </c>
      <c r="W69" s="170" t="s">
        <v>115</v>
      </c>
      <c r="X69" s="170" t="s">
        <v>116</v>
      </c>
      <c r="Y69" s="172">
        <f t="shared" ref="Y69:Y71" si="116">IFERROR(IF(AND(R68="Probabilidad",R69="Probabilidad"),(AA68-(+AA68*U69)),IF(AND(R68="Impacto",R69="Probabilidad"),(AA67-(+AA67*U69)),IF(R69="Impacto",AA68,""))),"")</f>
        <v>2.0999999999999998E-2</v>
      </c>
      <c r="Z69" s="197" t="s">
        <v>156</v>
      </c>
      <c r="AA69" s="171">
        <f t="shared" si="113"/>
        <v>2.0999999999999998E-2</v>
      </c>
      <c r="AB69" s="173" t="str">
        <f t="shared" ref="AB69" si="117">IFERROR(IF(AC69="","",IF(AC69&lt;=0.2,"Leve",IF(AC69&lt;=0.4,"Menor",IF(AC69&lt;=0.6,"Moderado",IF(AC69&lt;=0.8,"Mayor","Catastrófico"))))),"")</f>
        <v>Moderado</v>
      </c>
      <c r="AC69" s="171">
        <f t="shared" ref="AC69:AC71" si="118">IFERROR(IF(AND(R68="Impacto",R69="Impacto"),(AC68-(+AC68*U69)),IF(AND(R68="Probabilidad",R69="Impacto"),(AC67-(+AC67*U69)),IF(R69="Probabilidad",AC68,""))),"")</f>
        <v>0.6</v>
      </c>
      <c r="AD69" s="174" t="str">
        <f>IFERROR(IF(OR(AND(Z69="Rara vez",AB69="Leve"),AND(Z69="Rara vez",AB69="Menor"),AND(Z69="Improbable",AB69="Leve")),"Bajo",IF(OR(AND(Z69="Rara vez",AB69="Moderado"),AND(Z69="Improbable",AB69="Menor"),AND(Z69="Improbable",AB69="Moderado"),AND(Z69="Posible",AB69="Leve"),AND(Z69="Posible",AB69="Menor"),AND(Z69="Posible",AB69="Moderado"),AND(Z69="Probable",AB69="Leve"),AND(Z69="Probable",AB69="Menor")),"Moderado",IF(OR(AND(Z69="Rara vez",AB69="Mayor"),AND(Z69="Improbable",AB69="Mayor"),AND(Z69="Posible",AB69="Mayor"),AND(Z69="Probable",AB69="Moderado"),AND(Z69="Probable",AB69="Mayor"),AND(Z69="Casi Seguro",AB69="Leve"),AND(Z69="Casi Seguro",AB69="Menor"),AND(Z69="Casi Seguro",AB69="Moderado"),AND(Z69="Casi Seguro",AB69="Mayor")),"Alto",IF(OR(AND(Z69="Rara vez",AB69="Catastrófico"),AND(Z69="Improbable",AB69="Catastrófico"),AND(Z69="Posible",AB69="Catastrófico"),AND(Z69="Probable",AB69="Catastrófico"),AND(Z69="Casi Seguro",AB69="Catastrófico")),"Extremo","")))),"")</f>
        <v>Moderado</v>
      </c>
      <c r="AE69" s="170" t="s">
        <v>120</v>
      </c>
      <c r="AF69" s="136"/>
      <c r="AG69" s="136"/>
      <c r="AH69" s="131"/>
      <c r="AI69" s="136"/>
      <c r="AJ69" s="200"/>
      <c r="AK69" s="524"/>
      <c r="AL69" s="535"/>
      <c r="AM69" s="535"/>
      <c r="AN69" s="535"/>
      <c r="AO69" s="535"/>
      <c r="AP69" s="535"/>
      <c r="AQ69" s="535"/>
      <c r="AR69" s="535"/>
      <c r="AS69" s="158"/>
      <c r="AT69" s="158"/>
      <c r="AU69" s="158"/>
      <c r="AV69" s="158"/>
      <c r="AW69" s="158"/>
      <c r="AX69" s="158"/>
      <c r="AY69" s="158"/>
      <c r="AZ69" s="158"/>
      <c r="BA69" s="158"/>
      <c r="BB69" s="158"/>
      <c r="BC69" s="158"/>
      <c r="BD69" s="158"/>
      <c r="BE69" s="158"/>
      <c r="BF69" s="158"/>
      <c r="BG69" s="158"/>
      <c r="BH69" s="158"/>
      <c r="BI69" s="158"/>
      <c r="BJ69" s="158"/>
    </row>
    <row r="70" spans="2:62" x14ac:dyDescent="0.2">
      <c r="B70" s="314"/>
      <c r="C70" s="324"/>
      <c r="D70" s="317"/>
      <c r="E70" s="313"/>
      <c r="F70" s="313"/>
      <c r="G70" s="304"/>
      <c r="H70" s="305"/>
      <c r="I70" s="306"/>
      <c r="J70" s="307"/>
      <c r="K70" s="308"/>
      <c r="L70" s="307">
        <f>IF(NOT(ISERROR(MATCH(K70,_xlfn.ANCHORARRAY(G81),0))),J83&amp;"Por favor no seleccionar los criterios de impacto",K70)</f>
        <v>0</v>
      </c>
      <c r="M70" s="306"/>
      <c r="N70" s="307"/>
      <c r="O70" s="309"/>
      <c r="P70" s="168">
        <v>5</v>
      </c>
      <c r="Q70" s="127"/>
      <c r="R70" s="169" t="str">
        <f t="shared" ref="R70:R71" si="119">IF(OR(S70="Preventivo",S70="Detectivo"),"Probabilidad",IF(S70="Correctivo","Impacto",""))</f>
        <v/>
      </c>
      <c r="S70" s="170"/>
      <c r="T70" s="170"/>
      <c r="U70" s="171" t="str">
        <f t="shared" si="111"/>
        <v/>
      </c>
      <c r="V70" s="170"/>
      <c r="W70" s="170"/>
      <c r="X70" s="170"/>
      <c r="Y70" s="172" t="str">
        <f t="shared" si="116"/>
        <v/>
      </c>
      <c r="Z70" s="173" t="str">
        <f t="shared" ref="Z70:Z71" si="120">IFERROR(IF(Y70="","",IF(Y70&lt;=0.2,"Rara vez",IF(Y70&lt;=0.4,"Improbable",IF(Y70&lt;=0.6,"Posible",IF(Y70&lt;=0.8,"Probable","Casi Seguro"))))),"")</f>
        <v/>
      </c>
      <c r="AA70" s="171" t="str">
        <f t="shared" si="113"/>
        <v/>
      </c>
      <c r="AB70" s="173" t="str">
        <f t="shared" ref="AB70:AB71" si="121">IFERROR(IF(AC70="","",IF(AC70&lt;=0.6,"Moderado",IF(AC70&lt;=0.8,"Mayor","Catastrófico"))),"")</f>
        <v/>
      </c>
      <c r="AC70" s="171" t="str">
        <f t="shared" si="118"/>
        <v/>
      </c>
      <c r="AD70" s="174" t="str">
        <f t="shared" ref="AD70:AD71" si="122">IFERROR(IF(OR(AND(Z70="Muy Baja",AB70="Leve"),AND(Z70="Muy Baja",AB70="Menor"),AND(Z70="Baja",AB70="Leve")),"Bajo",IF(OR(AND(Z70="Muy baja",AB70="Moderado"),AND(Z70="Baja",AB70="Menor"),AND(Z70="Baja",AB70="Moderado"),AND(Z70="Media",AB70="Leve"),AND(Z70="Media",AB70="Menor"),AND(Z70="Media",AB70="Moderado"),AND(Z70="Alta",AB70="Leve"),AND(Z70="Alta",AB70="Menor")),"Moderado",IF(OR(AND(Z70="Muy Baja",AB70="Mayor"),AND(Z70="Baja",AB70="Mayor"),AND(Z70="Media",AB70="Mayor"),AND(Z70="Alta",AB70="Moderado"),AND(Z70="Alta",AB70="Mayor"),AND(Z70="Muy Alta",AB70="Leve"),AND(Z70="Muy Alta",AB70="Menor"),AND(Z70="Muy Alta",AB70="Moderado"),AND(Z70="Muy Alta",AB70="Mayor")),"Alto",IF(OR(AND(Z70="Muy Baja",AB70="Catastrófico"),AND(Z70="Baja",AB70="Catastrófico"),AND(Z70="Media",AB70="Catastrófico"),AND(Z70="Alta",AB70="Catastrófico"),AND(Z70="Muy Alta",AB70="Catastrófico")),"Extremo","")))),"")</f>
        <v/>
      </c>
      <c r="AE70" s="179"/>
      <c r="AF70" s="192"/>
      <c r="AG70" s="193"/>
      <c r="AH70" s="176"/>
      <c r="AI70" s="176"/>
      <c r="AJ70" s="177"/>
      <c r="AK70" s="522"/>
      <c r="AL70" s="535"/>
      <c r="AM70" s="535"/>
      <c r="AN70" s="535"/>
      <c r="AO70" s="535"/>
      <c r="AP70" s="535"/>
      <c r="AQ70" s="535"/>
      <c r="AR70" s="535"/>
      <c r="AS70" s="158"/>
      <c r="AT70" s="158"/>
      <c r="AU70" s="158"/>
      <c r="AV70" s="158"/>
      <c r="AW70" s="158"/>
      <c r="AX70" s="158"/>
      <c r="AY70" s="158"/>
      <c r="AZ70" s="158"/>
      <c r="BA70" s="158"/>
      <c r="BB70" s="158"/>
      <c r="BC70" s="158"/>
      <c r="BD70" s="158"/>
      <c r="BE70" s="158"/>
      <c r="BF70" s="158"/>
      <c r="BG70" s="158"/>
      <c r="BH70" s="158"/>
      <c r="BI70" s="158"/>
      <c r="BJ70" s="158"/>
    </row>
    <row r="71" spans="2:62" ht="20.25" customHeight="1" x14ac:dyDescent="0.2">
      <c r="B71" s="314"/>
      <c r="C71" s="324"/>
      <c r="D71" s="317"/>
      <c r="E71" s="313"/>
      <c r="F71" s="313"/>
      <c r="G71" s="304"/>
      <c r="H71" s="305"/>
      <c r="I71" s="306"/>
      <c r="J71" s="307"/>
      <c r="K71" s="308"/>
      <c r="L71" s="307">
        <f>IF(NOT(ISERROR(MATCH(K71,_xlfn.ANCHORARRAY(G82),0))),J315&amp;"Por favor no seleccionar los criterios de impacto",K71)</f>
        <v>0</v>
      </c>
      <c r="M71" s="306"/>
      <c r="N71" s="307"/>
      <c r="O71" s="309"/>
      <c r="P71" s="168">
        <v>6</v>
      </c>
      <c r="Q71" s="127"/>
      <c r="R71" s="169" t="str">
        <f t="shared" si="119"/>
        <v/>
      </c>
      <c r="S71" s="170"/>
      <c r="T71" s="170"/>
      <c r="U71" s="171" t="str">
        <f t="shared" si="111"/>
        <v/>
      </c>
      <c r="V71" s="170"/>
      <c r="W71" s="170"/>
      <c r="X71" s="170"/>
      <c r="Y71" s="172" t="str">
        <f t="shared" si="116"/>
        <v/>
      </c>
      <c r="Z71" s="173" t="str">
        <f t="shared" si="120"/>
        <v/>
      </c>
      <c r="AA71" s="171" t="str">
        <f t="shared" si="113"/>
        <v/>
      </c>
      <c r="AB71" s="173" t="str">
        <f t="shared" si="121"/>
        <v/>
      </c>
      <c r="AC71" s="171" t="str">
        <f t="shared" si="118"/>
        <v/>
      </c>
      <c r="AD71" s="174" t="str">
        <f t="shared" si="122"/>
        <v/>
      </c>
      <c r="AE71" s="179"/>
      <c r="AF71" s="192"/>
      <c r="AG71" s="193"/>
      <c r="AH71" s="176"/>
      <c r="AI71" s="176"/>
      <c r="AJ71" s="177"/>
      <c r="AK71" s="522"/>
      <c r="AL71" s="535"/>
      <c r="AM71" s="535"/>
      <c r="AN71" s="535"/>
      <c r="AO71" s="535"/>
      <c r="AP71" s="535"/>
      <c r="AQ71" s="535"/>
      <c r="AR71" s="535"/>
      <c r="AS71" s="158"/>
      <c r="AT71" s="158"/>
      <c r="AU71" s="158"/>
      <c r="AV71" s="158"/>
      <c r="AW71" s="158"/>
      <c r="AX71" s="158"/>
      <c r="AY71" s="158"/>
      <c r="AZ71" s="158"/>
      <c r="BA71" s="158"/>
      <c r="BB71" s="158"/>
      <c r="BC71" s="158"/>
      <c r="BD71" s="158"/>
      <c r="BE71" s="158"/>
      <c r="BF71" s="158"/>
      <c r="BG71" s="158"/>
      <c r="BH71" s="158"/>
      <c r="BI71" s="158"/>
      <c r="BJ71" s="158"/>
    </row>
    <row r="72" spans="2:62" s="163" customFormat="1" ht="116.25" customHeight="1" x14ac:dyDescent="0.25">
      <c r="B72" s="314" t="s">
        <v>219</v>
      </c>
      <c r="C72" s="324" t="s">
        <v>220</v>
      </c>
      <c r="D72" s="317" t="s">
        <v>221</v>
      </c>
      <c r="E72" s="313" t="s">
        <v>127</v>
      </c>
      <c r="F72" s="313" t="s">
        <v>222</v>
      </c>
      <c r="G72" s="304" t="s">
        <v>223</v>
      </c>
      <c r="H72" s="305" t="s">
        <v>224</v>
      </c>
      <c r="I72" s="306" t="str">
        <f>IF(H72&lt;=0,"",IF(H72="No se ha presentado en los últimos 5 años","Rara vez",IF(H72="Al menos 1 vez en los últimos 5 años","Improbable",IF(H72="Al menos 1 vez en los últimos 2 años","Posible",IF(H72="Al menos 1 vez en el último año","Probable",IF(H72="Más de 1 vez al año","Casi Seguro"))))))</f>
        <v>Posible</v>
      </c>
      <c r="J72" s="307">
        <f>IF(I72="","",IF(I72="Rara vez",0.2,IF(I72="Improbable",0.4,IF(I72="Posible",0.6,IF(I72="Probable",0.8,IF(I72="Casi Seguro",1,))))))</f>
        <v>0.6</v>
      </c>
      <c r="K72" s="308" t="s">
        <v>131</v>
      </c>
      <c r="L72" s="307" t="str">
        <f>IF(NOT(ISERROR(MATCH(K72,'Tabla Impacto'!$B$220:$B$222,0))),'Tabla Impacto'!$F$222&amp;"Por favor no seleccionar los criterios de impacto(Criterios para calificar el impacto)",K72)</f>
        <v xml:space="preserve">Responder afirmativamente de DOCE a DIECINUEVE </v>
      </c>
      <c r="M72" s="306" t="str">
        <f>IF(OR(L72='Tabla Impacto'!$C$5),"Moderado",IF(OR(L72='Tabla Impacto'!$C$6),"Mayor",IF(OR(L72='Tabla Impacto'!$C$7),"Catastrófico","")))</f>
        <v>Catastrófico</v>
      </c>
      <c r="N72" s="307">
        <f>IF(M72="","",IF(M72="Leve",0.2,IF(M72="Menor",0.4,IF(M72="Moderado",0.6,IF(M72="Mayor",0.8,IF(M72="Catastrófico",1,))))))</f>
        <v>1</v>
      </c>
      <c r="O72" s="309" t="str">
        <f>IF(OR(AND(I72="Rara vez",M72="Leve"),AND(I72="Rara vez",M72="Menor"),AND(I72="Improbable",M72="Leve")),"Bajo",IF(OR(AND(I72="Rara vez",M72="Moderado"),AND(I72="Improbable",M72="Menor"),AND(I72="Improbable",M72="Moderado"),AND(I72="Posible",M72="Leve"),AND(I72="Posible",M72="Menor"),AND(I72="Posible",M72="Moderado"),AND(I72="Probable",M72="Leve"),AND(I72="Probable",M72="Menor")),"Moderado",IF(OR(AND(I72="Rara vez",M72="Mayor"),AND(I72="Improbable",M72="Mayor"),AND(I72="Posible",M72="Mayor"),AND(I72="Probable",M72="Moderado"),AND(I72="Probable",M72="Mayor"),AND(I72="Casi Seguro",M72="Leve"),AND(I72="Casi Seguro",M72="Menor"),AND(I72="Casi Seguro",M72="Moderado"),AND(I72="Casi Seguro",M72="Mayor")),"Alto",IF(OR(AND(I72="Rara vez",M72="Catastrófico"),AND(I72="Improbable",M72="Catastrófico"),AND(I72="Posible",M72="Catastrófico"),AND(I72="Probable",M72="Catastrófico"),AND(I72="Casi Seguro",M72="Catastrófico")),"Extremo",""))))</f>
        <v>Extremo</v>
      </c>
      <c r="P72" s="168">
        <v>1</v>
      </c>
      <c r="Q72" s="129" t="s">
        <v>225</v>
      </c>
      <c r="R72" s="169" t="str">
        <f>IF(OR(S72="Preventivo",S72="Detectivo"),"Probabilidad",IF(S72="Correctivo","Impacto",""))</f>
        <v>Probabilidad</v>
      </c>
      <c r="S72" s="170" t="s">
        <v>112</v>
      </c>
      <c r="T72" s="170" t="s">
        <v>113</v>
      </c>
      <c r="U72" s="171" t="str">
        <f>IF(AND(S72="Preventivo",T72="Automático"),"50%",IF(AND(S72="Preventivo",T72="Manual"),"40%",IF(AND(S72="Detectivo",T72="Automático"),"40%",IF(AND(S72="Detectivo",T72="Manual"),"30%",IF(AND(S72="Correctivo",T72="Automático"),"35%",IF(AND(S72="Correctivo",T72="Manual"),"25%",""))))))</f>
        <v>40%</v>
      </c>
      <c r="V72" s="170" t="s">
        <v>114</v>
      </c>
      <c r="W72" s="170" t="s">
        <v>115</v>
      </c>
      <c r="X72" s="170" t="s">
        <v>134</v>
      </c>
      <c r="Y72" s="172">
        <f>IFERROR(IF(R72="Probabilidad",(J72-(+J72*U72)),IF(R72="Impacto",J72,"")),"")</f>
        <v>0.36</v>
      </c>
      <c r="Z72" s="173" t="str">
        <f>IFERROR(IF(Y72="","",IF(Y72&lt;=0.2,"Rara vez",IF(Y72&lt;=0.4,"Improbable",IF(Y72&lt;=0.6,"Posible",IF(Y72&lt;=0.8,"Probable","Casi Seguro"))))),"")</f>
        <v>Improbable</v>
      </c>
      <c r="AA72" s="171">
        <f>+Y72</f>
        <v>0.36</v>
      </c>
      <c r="AB72" s="173" t="str">
        <f>IFERROR(IF(AC72="","",IF(AC72&lt;=0.6,"Moderado",IF(AC72&lt;=0.8,"Mayor","Catastrófico"))),"")</f>
        <v>Catastrófico</v>
      </c>
      <c r="AC72" s="171">
        <f>IFERROR(IF(R72="Impacto",(N72-(+N72*U72)),IF(R72="Probabilidad",N72,"")),"")</f>
        <v>1</v>
      </c>
      <c r="AD72" s="174" t="str">
        <f>IFERROR(IF(OR(AND(Z72="Rara vez",AB72="Leve"),AND(Z72="Rara vez",AB72="Menor"),AND(Z72="Improbable",AB72="Leve")),"Bajo",IF(OR(AND(Z72="Rara vez",AB72="Moderado"),AND(Z72="Improbable",AB72="Menor"),AND(Z72="Improbable",AB72="Moderado"),AND(Z72="Posible",AB72="Leve"),AND(Z72="Posible",AB72="Menor"),AND(Z72="Posible",AB72="Moderado"),AND(Z72="Probable",AB72="Leve"),AND(Z72="Probable",AB72="Menor")),"Moderado",IF(OR(AND(Z72="Rara vez",AB72="Mayor"),AND(Z72="Improbable",AB72="Mayor"),AND(Z72="Posible",AB72="Mayor"),AND(Z72="Probable",AB72="Moderado"),AND(Z72="Probable",AB72="Mayor"),AND(Z72="Casi Seguro",AB72="Leve"),AND(Z72="Casi Seguro",AB72="Menor"),AND(Z72="Casi Seguro",AB72="Moderado"),AND(Z72="Casi Seguro",AB72="Mayor")),"Alto",IF(OR(AND(Z72="Rara vez",AB72="Catastrófico"),AND(Z72="Improbable",AB72="Catastrófico"),AND(Z72="Posible",AB72="Catastrófico"),AND(Z72="Probable",AB72="Catastrófico"),AND(Z72="Casi Seguro",AB72="Catastrófico")),"Extremo","")))),"")</f>
        <v>Extremo</v>
      </c>
      <c r="AE72" s="170"/>
      <c r="AF72" s="123"/>
      <c r="AG72" s="123"/>
      <c r="AH72" s="175"/>
      <c r="AI72" s="176"/>
      <c r="AJ72" s="177"/>
      <c r="AK72" s="522"/>
      <c r="AL72" s="534"/>
      <c r="AM72" s="534"/>
      <c r="AN72" s="534"/>
      <c r="AO72" s="534"/>
      <c r="AP72" s="534"/>
      <c r="AQ72" s="534"/>
      <c r="AR72" s="534"/>
      <c r="AS72" s="178"/>
      <c r="AT72" s="178"/>
      <c r="AU72" s="178"/>
      <c r="AV72" s="178"/>
      <c r="AW72" s="178"/>
      <c r="AX72" s="178"/>
      <c r="AY72" s="178"/>
      <c r="AZ72" s="178"/>
      <c r="BA72" s="178"/>
      <c r="BB72" s="178"/>
      <c r="BC72" s="178"/>
      <c r="BD72" s="178"/>
      <c r="BE72" s="178"/>
      <c r="BF72" s="178"/>
      <c r="BG72" s="178"/>
      <c r="BH72" s="178"/>
      <c r="BI72" s="178"/>
      <c r="BJ72" s="178"/>
    </row>
    <row r="73" spans="2:62" ht="116.25" customHeight="1" x14ac:dyDescent="0.2">
      <c r="B73" s="314"/>
      <c r="C73" s="324"/>
      <c r="D73" s="317"/>
      <c r="E73" s="313"/>
      <c r="F73" s="313"/>
      <c r="G73" s="304"/>
      <c r="H73" s="305"/>
      <c r="I73" s="306"/>
      <c r="J73" s="307"/>
      <c r="K73" s="308"/>
      <c r="L73" s="307">
        <f>IF(NOT(ISERROR(MATCH(K73,_xlfn.ANCHORARRAY(G315),0))),J317&amp;"Por favor no seleccionar los criterios de impacto",K73)</f>
        <v>0</v>
      </c>
      <c r="M73" s="306"/>
      <c r="N73" s="307"/>
      <c r="O73" s="309"/>
      <c r="P73" s="168">
        <v>2</v>
      </c>
      <c r="Q73" s="129" t="s">
        <v>226</v>
      </c>
      <c r="R73" s="169" t="str">
        <f>IF(OR(S73="Preventivo",S73="Detectivo"),"Probabilidad",IF(S73="Correctivo","Impacto",""))</f>
        <v>Probabilidad</v>
      </c>
      <c r="S73" s="170" t="s">
        <v>112</v>
      </c>
      <c r="T73" s="170" t="s">
        <v>113</v>
      </c>
      <c r="U73" s="171" t="str">
        <f t="shared" ref="U73:U77" si="123">IF(AND(S73="Preventivo",T73="Automático"),"50%",IF(AND(S73="Preventivo",T73="Manual"),"40%",IF(AND(S73="Detectivo",T73="Automático"),"40%",IF(AND(S73="Detectivo",T73="Manual"),"30%",IF(AND(S73="Correctivo",T73="Automático"),"35%",IF(AND(S73="Correctivo",T73="Manual"),"25%",""))))))</f>
        <v>40%</v>
      </c>
      <c r="V73" s="170" t="s">
        <v>114</v>
      </c>
      <c r="W73" s="170" t="s">
        <v>115</v>
      </c>
      <c r="X73" s="170" t="s">
        <v>116</v>
      </c>
      <c r="Y73" s="172">
        <f>IFERROR(IF(AND(R72="Probabilidad",R73="Probabilidad"),(AA72-(+AA72*U73)),IF(R73="Probabilidad",(J72-(+J72*U73)),IF(R73="Impacto",AA72,""))),"")</f>
        <v>0.216</v>
      </c>
      <c r="Z73" s="173" t="str">
        <f t="shared" ref="Z73:Z74" si="124">IFERROR(IF(Y73="","",IF(Y73&lt;=0.2,"Rara vez",IF(Y73&lt;=0.4,"Improbable",IF(Y73&lt;=0.6,"Posible",IF(Y73&lt;=0.8,"Probable","Casi Seguro"))))),"")</f>
        <v>Improbable</v>
      </c>
      <c r="AA73" s="171">
        <f t="shared" ref="AA73:AA77" si="125">+Y73</f>
        <v>0.216</v>
      </c>
      <c r="AB73" s="173" t="str">
        <f t="shared" ref="AB73:AB74" si="126">IFERROR(IF(AC73="","",IF(AC73&lt;=0.6,"Moderado",IF(AC73&lt;=0.8,"Mayor","Catastrófico"))),"")</f>
        <v>Catastrófico</v>
      </c>
      <c r="AC73" s="171">
        <f>IFERROR(IF(AND(R72="Impacto",R73="Impacto"),(AC72-(+AC72*U73)),IF(R73="Impacto",(N72-(+N72*U73)),IF(R73="Probabilidad",AC72,""))),"")</f>
        <v>1</v>
      </c>
      <c r="AD73" s="174" t="str">
        <f>IFERROR(IF(OR(AND(Z73="Rara vez",AB73="Leve"),AND(Z73="Rara vez",AB73="Menor"),AND(Z73="Improbable",AB73="Leve")),"Bajo",IF(OR(AND(Z73="Rara vez",AB73="Moderado"),AND(Z73="Improbable",AB73="Menor"),AND(Z73="Improbable",AB73="Moderado"),AND(Z73="Posible",AB73="Leve"),AND(Z73="Posible",AB73="Menor"),AND(Z73="Posible",AB73="Moderado"),AND(Z73="Probable",AB73="Leve"),AND(Z73="Probable",AB73="Menor")),"Moderado",IF(OR(AND(Z73="Rara vez",AB73="Mayor"),AND(Z73="Improbable",AB73="Mayor"),AND(Z73="Posible",AB73="Mayor"),AND(Z73="Probable",AB73="Moderado"),AND(Z73="Probable",AB73="Mayor"),AND(Z73="Casi Seguro",AB73="Leve"),AND(Z73="Casi Seguro",AB73="Menor"),AND(Z73="Casi Seguro",AB73="Moderado"),AND(Z73="Casi Seguro",AB73="Mayor")),"Alto",IF(OR(AND(Z73="Rara vez",AB73="Catastrófico"),AND(Z73="Improbable",AB73="Catastrófico"),AND(Z73="Posible",AB73="Catastrófico"),AND(Z73="Probable",AB73="Catastrófico"),AND(Z73="Casi Seguro",AB73="Catastrófico")),"Extremo","")))),"")</f>
        <v>Extremo</v>
      </c>
      <c r="AE73" s="170"/>
      <c r="AF73" s="132"/>
      <c r="AG73" s="194"/>
      <c r="AH73" s="195"/>
      <c r="AI73" s="176"/>
      <c r="AJ73" s="181"/>
      <c r="AK73" s="522"/>
      <c r="AL73" s="535"/>
      <c r="AM73" s="535"/>
      <c r="AN73" s="535"/>
      <c r="AO73" s="535"/>
      <c r="AP73" s="535"/>
      <c r="AQ73" s="535"/>
      <c r="AR73" s="535"/>
      <c r="AS73" s="158"/>
      <c r="AT73" s="158"/>
      <c r="AU73" s="158"/>
      <c r="AV73" s="158"/>
      <c r="AW73" s="158"/>
      <c r="AX73" s="158"/>
      <c r="AY73" s="158"/>
      <c r="AZ73" s="158"/>
      <c r="BA73" s="158"/>
      <c r="BB73" s="158"/>
      <c r="BC73" s="158"/>
      <c r="BD73" s="158"/>
      <c r="BE73" s="158"/>
      <c r="BF73" s="158"/>
      <c r="BG73" s="158"/>
      <c r="BH73" s="158"/>
      <c r="BI73" s="158"/>
      <c r="BJ73" s="158"/>
    </row>
    <row r="74" spans="2:62" ht="53.25" customHeight="1" x14ac:dyDescent="0.2">
      <c r="B74" s="314"/>
      <c r="C74" s="324"/>
      <c r="D74" s="317"/>
      <c r="E74" s="313"/>
      <c r="F74" s="313"/>
      <c r="G74" s="304"/>
      <c r="H74" s="305"/>
      <c r="I74" s="306"/>
      <c r="J74" s="307"/>
      <c r="K74" s="308"/>
      <c r="L74" s="307">
        <f>IF(NOT(ISERROR(MATCH(K74,_xlfn.ANCHORARRAY(G316),0))),J318&amp;"Por favor no seleccionar los criterios de impacto",K74)</f>
        <v>0</v>
      </c>
      <c r="M74" s="306"/>
      <c r="N74" s="307"/>
      <c r="O74" s="309"/>
      <c r="P74" s="168">
        <v>3</v>
      </c>
      <c r="Q74" s="129" t="s">
        <v>227</v>
      </c>
      <c r="R74" s="169" t="s">
        <v>136</v>
      </c>
      <c r="S74" s="182" t="s">
        <v>137</v>
      </c>
      <c r="T74" s="170" t="s">
        <v>113</v>
      </c>
      <c r="U74" s="171" t="str">
        <f t="shared" si="123"/>
        <v>25%</v>
      </c>
      <c r="V74" s="170" t="s">
        <v>119</v>
      </c>
      <c r="W74" s="170" t="s">
        <v>115</v>
      </c>
      <c r="X74" s="170" t="s">
        <v>134</v>
      </c>
      <c r="Y74" s="172">
        <f>IFERROR(IF(AND(R73="Probabilidad",R74="Probabilidad"),(AA73-(+AA73*U74)),IF(AND(R73="Impacto",R74="Probabilidad"),(AA72-(+AA72*U74)),IF(R74="Impacto",AA73,""))),"")</f>
        <v>0.216</v>
      </c>
      <c r="Z74" s="173" t="str">
        <f t="shared" si="124"/>
        <v>Improbable</v>
      </c>
      <c r="AA74" s="171">
        <f t="shared" si="125"/>
        <v>0.216</v>
      </c>
      <c r="AB74" s="173" t="str">
        <f t="shared" si="126"/>
        <v>Mayor</v>
      </c>
      <c r="AC74" s="171">
        <f>IFERROR(IF(AND(R73="Impacto",R74="Impacto"),(AC73-(+AC73*U74)),IF(AND(R73="Probabilidad",R74="Impacto"),(AC72-(+AC72*U74)),IF(R74="Probabilidad",AC73,""))),"")</f>
        <v>0.75</v>
      </c>
      <c r="AD74" s="174" t="str">
        <f>IFERROR(IF(OR(AND(Z74="Rara vez",AB74="Leve"),AND(Z74="Rara vez",AB74="Menor"),AND(Z74="Improbable",AB74="Leve")),"Bajo",IF(OR(AND(Z74="Rara vez",AB74="Moderado"),AND(Z74="Improbable",AB74="Menor"),AND(Z74="Improbable",AB74="Moderado"),AND(Z74="Posible",AB74="Leve"),AND(Z74="Posible",AB74="Menor"),AND(Z74="Posible",AB74="Moderado"),AND(Z74="Probable",AB74="Leve"),AND(Z74="Probable",AB74="Menor")),"Moderado",IF(OR(AND(Z74="Rara vez",AB74="Mayor"),AND(Z74="Improbable",AB74="Mayor"),AND(Z74="Posible",AB74="Mayor"),AND(Z74="Probable",AB74="Moderado"),AND(Z74="Probable",AB74="Mayor"),AND(Z74="Casi Seguro",AB74="Leve"),AND(Z74="Casi Seguro",AB74="Menor"),AND(Z74="Casi Seguro",AB74="Moderado"),AND(Z74="Casi Seguro",AB74="Mayor")),"Alto",IF(OR(AND(Z74="Rara vez",AB74="Catastrófico"),AND(Z74="Improbable",AB74="Catastrófico"),AND(Z74="Posible",AB74="Catastrófico"),AND(Z74="Probable",AB74="Catastrófico"),AND(Z74="Casi Seguro",AB74="Catastrófico")),"Extremo","")))),"")</f>
        <v>Alto</v>
      </c>
      <c r="AE74" s="196"/>
      <c r="AF74" s="184"/>
      <c r="AG74" s="185"/>
      <c r="AH74" s="186"/>
      <c r="AI74" s="187"/>
      <c r="AJ74" s="188"/>
      <c r="AK74" s="523"/>
      <c r="AL74" s="535"/>
      <c r="AM74" s="535"/>
      <c r="AN74" s="535"/>
      <c r="AO74" s="535"/>
      <c r="AP74" s="535"/>
      <c r="AQ74" s="535"/>
      <c r="AR74" s="535"/>
      <c r="AS74" s="158"/>
      <c r="AT74" s="158"/>
      <c r="AU74" s="158"/>
      <c r="AV74" s="158"/>
      <c r="AW74" s="158"/>
      <c r="AX74" s="158"/>
      <c r="AY74" s="158"/>
      <c r="AZ74" s="158"/>
      <c r="BA74" s="158"/>
      <c r="BB74" s="158"/>
      <c r="BC74" s="158"/>
      <c r="BD74" s="158"/>
      <c r="BE74" s="158"/>
      <c r="BF74" s="158"/>
      <c r="BG74" s="158"/>
      <c r="BH74" s="158"/>
      <c r="BI74" s="158"/>
      <c r="BJ74" s="158"/>
    </row>
    <row r="75" spans="2:62" ht="103.5" customHeight="1" x14ac:dyDescent="0.2">
      <c r="B75" s="314"/>
      <c r="C75" s="324"/>
      <c r="D75" s="317"/>
      <c r="E75" s="313"/>
      <c r="F75" s="313"/>
      <c r="G75" s="304"/>
      <c r="H75" s="305"/>
      <c r="I75" s="306"/>
      <c r="J75" s="307"/>
      <c r="K75" s="308"/>
      <c r="L75" s="307">
        <f>IF(NOT(ISERROR(MATCH(K75,_xlfn.ANCHORARRAY(G317),0))),J319&amp;"Por favor no seleccionar los criterios de impacto",K75)</f>
        <v>0</v>
      </c>
      <c r="M75" s="306"/>
      <c r="N75" s="307"/>
      <c r="O75" s="309"/>
      <c r="P75" s="168">
        <v>4</v>
      </c>
      <c r="Q75" s="129" t="s">
        <v>228</v>
      </c>
      <c r="R75" s="169" t="s">
        <v>118</v>
      </c>
      <c r="S75" s="170" t="s">
        <v>133</v>
      </c>
      <c r="T75" s="170" t="s">
        <v>113</v>
      </c>
      <c r="U75" s="171" t="str">
        <f t="shared" si="123"/>
        <v>30%</v>
      </c>
      <c r="V75" s="170" t="s">
        <v>119</v>
      </c>
      <c r="W75" s="170" t="s">
        <v>115</v>
      </c>
      <c r="X75" s="170" t="s">
        <v>134</v>
      </c>
      <c r="Y75" s="172">
        <f t="shared" ref="Y75:Y77" si="127">IFERROR(IF(AND(R74="Probabilidad",R75="Probabilidad"),(AA74-(+AA74*U75)),IF(AND(R74="Impacto",R75="Probabilidad"),(AA73-(+AA73*U75)),IF(R75="Impacto",AA74,""))),"")</f>
        <v>0.1512</v>
      </c>
      <c r="Z75" s="197" t="s">
        <v>156</v>
      </c>
      <c r="AA75" s="171">
        <f t="shared" si="125"/>
        <v>0.1512</v>
      </c>
      <c r="AB75" s="173" t="str">
        <f t="shared" ref="AB75" si="128">IFERROR(IF(AC75="","",IF(AC75&lt;=0.2,"Leve",IF(AC75&lt;=0.4,"Menor",IF(AC75&lt;=0.6,"Moderado",IF(AC75&lt;=0.8,"Mayor","Catastrófico"))))),"")</f>
        <v>Mayor</v>
      </c>
      <c r="AC75" s="171">
        <f t="shared" ref="AC75:AC77" si="129">IFERROR(IF(AND(R74="Impacto",R75="Impacto"),(AC74-(+AC74*U75)),IF(AND(R74="Probabilidad",R75="Impacto"),(AC73-(+AC73*U75)),IF(R75="Probabilidad",AC74,""))),"")</f>
        <v>0.75</v>
      </c>
      <c r="AD75" s="174" t="str">
        <f>IFERROR(IF(OR(AND(Z75="Rara vez",AB75="Leve"),AND(Z75="Rara vez",AB75="Menor"),AND(Z75="Improbable",AB75="Leve")),"Bajo",IF(OR(AND(Z75="Rara vez",AB75="Moderado"),AND(Z75="Improbable",AB75="Menor"),AND(Z75="Improbable",AB75="Moderado"),AND(Z75="Posible",AB75="Leve"),AND(Z75="Posible",AB75="Menor"),AND(Z75="Posible",AB75="Moderado"),AND(Z75="Probable",AB75="Leve"),AND(Z75="Probable",AB75="Menor")),"Moderado",IF(OR(AND(Z75="Rara vez",AB75="Mayor"),AND(Z75="Improbable",AB75="Mayor"),AND(Z75="Posible",AB75="Mayor"),AND(Z75="Probable",AB75="Moderado"),AND(Z75="Probable",AB75="Mayor"),AND(Z75="Casi Seguro",AB75="Leve"),AND(Z75="Casi Seguro",AB75="Menor"),AND(Z75="Casi Seguro",AB75="Moderado"),AND(Z75="Casi Seguro",AB75="Mayor")),"Alto",IF(OR(AND(Z75="Rara vez",AB75="Catastrófico"),AND(Z75="Improbable",AB75="Catastrófico"),AND(Z75="Posible",AB75="Catastrófico"),AND(Z75="Probable",AB75="Catastrófico"),AND(Z75="Casi Seguro",AB75="Catastrófico")),"Extremo","")))),"")</f>
        <v>Alto</v>
      </c>
      <c r="AE75" s="170" t="s">
        <v>120</v>
      </c>
      <c r="AF75" s="136" t="s">
        <v>229</v>
      </c>
      <c r="AG75" s="136" t="s">
        <v>230</v>
      </c>
      <c r="AH75" s="131" t="s">
        <v>231</v>
      </c>
      <c r="AI75" s="136"/>
      <c r="AJ75" s="200"/>
      <c r="AK75" s="524" t="s">
        <v>123</v>
      </c>
      <c r="AL75" s="535"/>
      <c r="AM75" s="535"/>
      <c r="AN75" s="535"/>
      <c r="AO75" s="535"/>
      <c r="AP75" s="535"/>
      <c r="AQ75" s="535"/>
      <c r="AR75" s="535"/>
      <c r="AS75" s="158"/>
      <c r="AT75" s="158"/>
      <c r="AU75" s="158"/>
      <c r="AV75" s="158"/>
      <c r="AW75" s="158"/>
      <c r="AX75" s="158"/>
      <c r="AY75" s="158"/>
      <c r="AZ75" s="158"/>
      <c r="BA75" s="158"/>
      <c r="BB75" s="158"/>
      <c r="BC75" s="158"/>
      <c r="BD75" s="158"/>
      <c r="BE75" s="158"/>
      <c r="BF75" s="158"/>
      <c r="BG75" s="158"/>
      <c r="BH75" s="158"/>
      <c r="BI75" s="158"/>
      <c r="BJ75" s="158"/>
    </row>
    <row r="76" spans="2:62" ht="6" customHeight="1" x14ac:dyDescent="0.2">
      <c r="B76" s="314"/>
      <c r="C76" s="324"/>
      <c r="D76" s="317"/>
      <c r="E76" s="313"/>
      <c r="F76" s="313"/>
      <c r="G76" s="304"/>
      <c r="H76" s="305"/>
      <c r="I76" s="306"/>
      <c r="J76" s="307"/>
      <c r="K76" s="308"/>
      <c r="L76" s="307">
        <f>IF(NOT(ISERROR(MATCH(K76,_xlfn.ANCHORARRAY(G318),0))),J320&amp;"Por favor no seleccionar los criterios de impacto",K76)</f>
        <v>0</v>
      </c>
      <c r="M76" s="306"/>
      <c r="N76" s="307"/>
      <c r="O76" s="309"/>
      <c r="P76" s="168">
        <v>5</v>
      </c>
      <c r="Q76" s="127"/>
      <c r="R76" s="169" t="str">
        <f t="shared" ref="R76:R77" si="130">IF(OR(S76="Preventivo",S76="Detectivo"),"Probabilidad",IF(S76="Correctivo","Impacto",""))</f>
        <v/>
      </c>
      <c r="S76" s="170"/>
      <c r="T76" s="170"/>
      <c r="U76" s="171" t="str">
        <f t="shared" si="123"/>
        <v/>
      </c>
      <c r="V76" s="170"/>
      <c r="W76" s="170"/>
      <c r="X76" s="170"/>
      <c r="Y76" s="172" t="str">
        <f t="shared" si="127"/>
        <v/>
      </c>
      <c r="Z76" s="173" t="str">
        <f t="shared" ref="Z76:Z77" si="131">IFERROR(IF(Y76="","",IF(Y76&lt;=0.2,"Rara vez",IF(Y76&lt;=0.4,"Improbable",IF(Y76&lt;=0.6,"Posible",IF(Y76&lt;=0.8,"Probable","Casi Seguro"))))),"")</f>
        <v/>
      </c>
      <c r="AA76" s="171" t="str">
        <f t="shared" si="125"/>
        <v/>
      </c>
      <c r="AB76" s="173" t="str">
        <f t="shared" ref="AB76:AB77" si="132">IFERROR(IF(AC76="","",IF(AC76&lt;=0.6,"Moderado",IF(AC76&lt;=0.8,"Mayor","Catastrófico"))),"")</f>
        <v/>
      </c>
      <c r="AC76" s="171" t="str">
        <f t="shared" si="129"/>
        <v/>
      </c>
      <c r="AD76" s="174" t="str">
        <f t="shared" ref="AD76:AD77" si="133">IFERROR(IF(OR(AND(Z76="Muy Baja",AB76="Leve"),AND(Z76="Muy Baja",AB76="Menor"),AND(Z76="Baja",AB76="Leve")),"Bajo",IF(OR(AND(Z76="Muy baja",AB76="Moderado"),AND(Z76="Baja",AB76="Menor"),AND(Z76="Baja",AB76="Moderado"),AND(Z76="Media",AB76="Leve"),AND(Z76="Media",AB76="Menor"),AND(Z76="Media",AB76="Moderado"),AND(Z76="Alta",AB76="Leve"),AND(Z76="Alta",AB76="Menor")),"Moderado",IF(OR(AND(Z76="Muy Baja",AB76="Mayor"),AND(Z76="Baja",AB76="Mayor"),AND(Z76="Media",AB76="Mayor"),AND(Z76="Alta",AB76="Moderado"),AND(Z76="Alta",AB76="Mayor"),AND(Z76="Muy Alta",AB76="Leve"),AND(Z76="Muy Alta",AB76="Menor"),AND(Z76="Muy Alta",AB76="Moderado"),AND(Z76="Muy Alta",AB76="Mayor")),"Alto",IF(OR(AND(Z76="Muy Baja",AB76="Catastrófico"),AND(Z76="Baja",AB76="Catastrófico"),AND(Z76="Media",AB76="Catastrófico"),AND(Z76="Alta",AB76="Catastrófico"),AND(Z76="Muy Alta",AB76="Catastrófico")),"Extremo","")))),"")</f>
        <v/>
      </c>
      <c r="AE76" s="179"/>
      <c r="AF76" s="192"/>
      <c r="AG76" s="193"/>
      <c r="AH76" s="176"/>
      <c r="AI76" s="176"/>
      <c r="AJ76" s="177"/>
      <c r="AK76" s="522"/>
      <c r="AL76" s="535"/>
      <c r="AM76" s="535"/>
      <c r="AN76" s="535"/>
      <c r="AO76" s="535"/>
      <c r="AP76" s="535"/>
      <c r="AQ76" s="535"/>
      <c r="AR76" s="535"/>
      <c r="AS76" s="158"/>
      <c r="AT76" s="158"/>
      <c r="AU76" s="158"/>
      <c r="AV76" s="158"/>
      <c r="AW76" s="158"/>
      <c r="AX76" s="158"/>
      <c r="AY76" s="158"/>
      <c r="AZ76" s="158"/>
      <c r="BA76" s="158"/>
      <c r="BB76" s="158"/>
      <c r="BC76" s="158"/>
      <c r="BD76" s="158"/>
      <c r="BE76" s="158"/>
      <c r="BF76" s="158"/>
      <c r="BG76" s="158"/>
      <c r="BH76" s="158"/>
      <c r="BI76" s="158"/>
      <c r="BJ76" s="158"/>
    </row>
    <row r="77" spans="2:62" ht="9" customHeight="1" x14ac:dyDescent="0.2">
      <c r="B77" s="314"/>
      <c r="C77" s="324"/>
      <c r="D77" s="317"/>
      <c r="E77" s="313"/>
      <c r="F77" s="313"/>
      <c r="G77" s="304"/>
      <c r="H77" s="305"/>
      <c r="I77" s="306"/>
      <c r="J77" s="307"/>
      <c r="K77" s="308"/>
      <c r="L77" s="307">
        <f>IF(NOT(ISERROR(MATCH(K77,_xlfn.ANCHORARRAY(G319),0))),J321&amp;"Por favor no seleccionar los criterios de impacto",K77)</f>
        <v>0</v>
      </c>
      <c r="M77" s="306"/>
      <c r="N77" s="307"/>
      <c r="O77" s="309"/>
      <c r="P77" s="168">
        <v>6</v>
      </c>
      <c r="Q77" s="127"/>
      <c r="R77" s="169" t="str">
        <f t="shared" si="130"/>
        <v/>
      </c>
      <c r="S77" s="170"/>
      <c r="T77" s="170"/>
      <c r="U77" s="171" t="str">
        <f t="shared" si="123"/>
        <v/>
      </c>
      <c r="V77" s="170"/>
      <c r="W77" s="170"/>
      <c r="X77" s="170"/>
      <c r="Y77" s="172" t="str">
        <f t="shared" si="127"/>
        <v/>
      </c>
      <c r="Z77" s="173" t="str">
        <f t="shared" si="131"/>
        <v/>
      </c>
      <c r="AA77" s="171" t="str">
        <f t="shared" si="125"/>
        <v/>
      </c>
      <c r="AB77" s="173" t="str">
        <f t="shared" si="132"/>
        <v/>
      </c>
      <c r="AC77" s="171" t="str">
        <f t="shared" si="129"/>
        <v/>
      </c>
      <c r="AD77" s="174" t="str">
        <f t="shared" si="133"/>
        <v/>
      </c>
      <c r="AE77" s="179"/>
      <c r="AF77" s="192"/>
      <c r="AG77" s="193"/>
      <c r="AH77" s="176"/>
      <c r="AI77" s="176"/>
      <c r="AJ77" s="177"/>
      <c r="AK77" s="522"/>
      <c r="AL77" s="535"/>
      <c r="AM77" s="535"/>
      <c r="AN77" s="535"/>
      <c r="AO77" s="535"/>
      <c r="AP77" s="535"/>
      <c r="AQ77" s="535"/>
      <c r="AR77" s="535"/>
      <c r="AS77" s="158"/>
      <c r="AT77" s="158"/>
      <c r="AU77" s="158"/>
      <c r="AV77" s="158"/>
      <c r="AW77" s="158"/>
      <c r="AX77" s="158"/>
      <c r="AY77" s="158"/>
      <c r="AZ77" s="158"/>
      <c r="BA77" s="158"/>
      <c r="BB77" s="158"/>
      <c r="BC77" s="158"/>
      <c r="BD77" s="158"/>
      <c r="BE77" s="158"/>
      <c r="BF77" s="158"/>
      <c r="BG77" s="158"/>
      <c r="BH77" s="158"/>
      <c r="BI77" s="158"/>
      <c r="BJ77" s="158"/>
    </row>
    <row r="78" spans="2:62" s="163" customFormat="1" ht="116.25" customHeight="1" x14ac:dyDescent="0.25">
      <c r="B78" s="314" t="s">
        <v>232</v>
      </c>
      <c r="C78" s="324" t="s">
        <v>220</v>
      </c>
      <c r="D78" s="317" t="s">
        <v>233</v>
      </c>
      <c r="E78" s="313" t="s">
        <v>127</v>
      </c>
      <c r="F78" s="313" t="s">
        <v>234</v>
      </c>
      <c r="G78" s="304" t="s">
        <v>235</v>
      </c>
      <c r="H78" s="305" t="s">
        <v>109</v>
      </c>
      <c r="I78" s="306" t="str">
        <f>IF(H78&lt;=0,"",IF(H78="No se ha presentado en los últimos 5 años","Rara vez",IF(H78="Al menos 1 vez en los últimos 5 años","Improbable",IF(H78="Al menos 1 vez en los últimos 2 años","Posible",IF(H78="Al menos 1 vez en el último año","Probable",IF(H78="Más de 1 vez al año","Casi Seguro"))))))</f>
        <v>Rara vez</v>
      </c>
      <c r="J78" s="307">
        <f>IF(I78="","",IF(I78="Rara vez",0.2,IF(I78="Improbable",0.4,IF(I78="Posible",0.6,IF(I78="Probable",0.8,IF(I78="Casi Seguro",1,))))))</f>
        <v>0.2</v>
      </c>
      <c r="K78" s="308" t="s">
        <v>131</v>
      </c>
      <c r="L78" s="307" t="str">
        <f>IF(NOT(ISERROR(MATCH(K78,'Tabla Impacto'!$B$220:$B$222,0))),'Tabla Impacto'!$F$222&amp;"Por favor no seleccionar los criterios de impacto(Criterios para calificar el impacto)",K78)</f>
        <v xml:space="preserve">Responder afirmativamente de DOCE a DIECINUEVE </v>
      </c>
      <c r="M78" s="306" t="str">
        <f>IF(OR(L78='Tabla Impacto'!$C$5),"Moderado",IF(OR(L78='Tabla Impacto'!$C$6),"Mayor",IF(OR(L78='Tabla Impacto'!$C$7),"Catastrófico","")))</f>
        <v>Catastrófico</v>
      </c>
      <c r="N78" s="307">
        <f>IF(M78="","",IF(M78="Leve",0.2,IF(M78="Menor",0.4,IF(M78="Moderado",0.6,IF(M78="Mayor",0.8,IF(M78="Catastrófico",1,))))))</f>
        <v>1</v>
      </c>
      <c r="O78" s="309" t="str">
        <f>IF(OR(AND(I78="Rara vez",M78="Leve"),AND(I78="Rara vez",M78="Menor"),AND(I78="Improbable",M78="Leve")),"Bajo",IF(OR(AND(I78="Rara vez",M78="Moderado"),AND(I78="Improbable",M78="Menor"),AND(I78="Improbable",M78="Moderado"),AND(I78="Posible",M78="Leve"),AND(I78="Posible",M78="Menor"),AND(I78="Posible",M78="Moderado"),AND(I78="Probable",M78="Leve"),AND(I78="Probable",M78="Menor")),"Moderado",IF(OR(AND(I78="Rara vez",M78="Mayor"),AND(I78="Improbable",M78="Mayor"),AND(I78="Posible",M78="Mayor"),AND(I78="Probable",M78="Moderado"),AND(I78="Probable",M78="Mayor"),AND(I78="Casi Seguro",M78="Leve"),AND(I78="Casi Seguro",M78="Menor"),AND(I78="Casi Seguro",M78="Moderado"),AND(I78="Casi Seguro",M78="Mayor")),"Alto",IF(OR(AND(I78="Rara vez",M78="Catastrófico"),AND(I78="Improbable",M78="Catastrófico"),AND(I78="Posible",M78="Catastrófico"),AND(I78="Probable",M78="Catastrófico"),AND(I78="Casi Seguro",M78="Catastrófico")),"Extremo",""))))</f>
        <v>Extremo</v>
      </c>
      <c r="P78" s="168">
        <v>1</v>
      </c>
      <c r="Q78" s="129" t="s">
        <v>236</v>
      </c>
      <c r="R78" s="169" t="str">
        <f>IF(OR(S78="Preventivo",S78="Detectivo"),"Probabilidad",IF(S78="Correctivo","Impacto",""))</f>
        <v>Probabilidad</v>
      </c>
      <c r="S78" s="170" t="s">
        <v>133</v>
      </c>
      <c r="T78" s="170" t="s">
        <v>113</v>
      </c>
      <c r="U78" s="171" t="str">
        <f>IF(AND(S78="Preventivo",T78="Automático"),"50%",IF(AND(S78="Preventivo",T78="Manual"),"40%",IF(AND(S78="Detectivo",T78="Automático"),"40%",IF(AND(S78="Detectivo",T78="Manual"),"30%",IF(AND(S78="Correctivo",T78="Automático"),"35%",IF(AND(S78="Correctivo",T78="Manual"),"25%",""))))))</f>
        <v>30%</v>
      </c>
      <c r="V78" s="170" t="s">
        <v>119</v>
      </c>
      <c r="W78" s="170" t="s">
        <v>115</v>
      </c>
      <c r="X78" s="170" t="s">
        <v>134</v>
      </c>
      <c r="Y78" s="172">
        <f>IFERROR(IF(R78="Probabilidad",(J78-(+J78*U78)),IF(R78="Impacto",J78,"")),"")</f>
        <v>0.14000000000000001</v>
      </c>
      <c r="Z78" s="173" t="str">
        <f>IFERROR(IF(Y78="","",IF(Y78&lt;=0.2,"Rara vez",IF(Y78&lt;=0.4,"Improbable",IF(Y78&lt;=0.6,"Posible",IF(Y78&lt;=0.8,"Probable","Casi Seguro"))))),"")</f>
        <v>Rara vez</v>
      </c>
      <c r="AA78" s="171">
        <f>+Y78</f>
        <v>0.14000000000000001</v>
      </c>
      <c r="AB78" s="173" t="str">
        <f>IFERROR(IF(AC78="","",IF(AC78&lt;=0.6,"Moderado",IF(AC78&lt;=0.8,"Mayor","Catastrófico"))),"")</f>
        <v>Catastrófico</v>
      </c>
      <c r="AC78" s="171">
        <f>IFERROR(IF(R78="Impacto",(N78-(+N78*U78)),IF(R78="Probabilidad",N78,"")),"")</f>
        <v>1</v>
      </c>
      <c r="AD78" s="174" t="str">
        <f>IFERROR(IF(OR(AND(Z78="Rara vez",AB78="Leve"),AND(Z78="Rara vez",AB78="Menor"),AND(Z78="Improbable",AB78="Leve")),"Bajo",IF(OR(AND(Z78="Rara vez",AB78="Moderado"),AND(Z78="Improbable",AB78="Menor"),AND(Z78="Improbable",AB78="Moderado"),AND(Z78="Posible",AB78="Leve"),AND(Z78="Posible",AB78="Menor"),AND(Z78="Posible",AB78="Moderado"),AND(Z78="Probable",AB78="Leve"),AND(Z78="Probable",AB78="Menor")),"Moderado",IF(OR(AND(Z78="Rara vez",AB78="Mayor"),AND(Z78="Improbable",AB78="Mayor"),AND(Z78="Posible",AB78="Mayor"),AND(Z78="Probable",AB78="Moderado"),AND(Z78="Probable",AB78="Mayor"),AND(Z78="Casi Seguro",AB78="Leve"),AND(Z78="Casi Seguro",AB78="Menor"),AND(Z78="Casi Seguro",AB78="Moderado"),AND(Z78="Casi Seguro",AB78="Mayor")),"Alto",IF(OR(AND(Z78="Rara vez",AB78="Catastrófico"),AND(Z78="Improbable",AB78="Catastrófico"),AND(Z78="Posible",AB78="Catastrófico"),AND(Z78="Probable",AB78="Catastrófico"),AND(Z78="Casi Seguro",AB78="Catastrófico")),"Extremo","")))),"")</f>
        <v>Extremo</v>
      </c>
      <c r="AE78" s="170"/>
      <c r="AF78" s="123"/>
      <c r="AG78" s="123"/>
      <c r="AH78" s="175"/>
      <c r="AI78" s="176"/>
      <c r="AJ78" s="177"/>
      <c r="AK78" s="522"/>
      <c r="AL78" s="534"/>
      <c r="AM78" s="534"/>
      <c r="AN78" s="534"/>
      <c r="AO78" s="534"/>
      <c r="AP78" s="534"/>
      <c r="AQ78" s="534"/>
      <c r="AR78" s="534"/>
      <c r="AS78" s="178"/>
      <c r="AT78" s="178"/>
      <c r="AU78" s="178"/>
      <c r="AV78" s="178"/>
      <c r="AW78" s="178"/>
      <c r="AX78" s="178"/>
      <c r="AY78" s="178"/>
      <c r="AZ78" s="178"/>
      <c r="BA78" s="178"/>
      <c r="BB78" s="178"/>
      <c r="BC78" s="178"/>
      <c r="BD78" s="178"/>
      <c r="BE78" s="178"/>
      <c r="BF78" s="178"/>
      <c r="BG78" s="178"/>
      <c r="BH78" s="178"/>
      <c r="BI78" s="178"/>
      <c r="BJ78" s="178"/>
    </row>
    <row r="79" spans="2:62" ht="68.25" customHeight="1" x14ac:dyDescent="0.2">
      <c r="B79" s="314"/>
      <c r="C79" s="324"/>
      <c r="D79" s="317"/>
      <c r="E79" s="313"/>
      <c r="F79" s="313"/>
      <c r="G79" s="304"/>
      <c r="H79" s="305"/>
      <c r="I79" s="306"/>
      <c r="J79" s="307"/>
      <c r="K79" s="308"/>
      <c r="L79" s="307">
        <f>IF(NOT(ISERROR(MATCH(K79,_xlfn.ANCHORARRAY(G321),0))),J323&amp;"Por favor no seleccionar los criterios de impacto",K79)</f>
        <v>0</v>
      </c>
      <c r="M79" s="306"/>
      <c r="N79" s="307"/>
      <c r="O79" s="309"/>
      <c r="P79" s="168">
        <v>2</v>
      </c>
      <c r="Q79" s="129" t="s">
        <v>237</v>
      </c>
      <c r="R79" s="169" t="str">
        <f>IF(OR(S79="Preventivo",S79="Detectivo"),"Probabilidad",IF(S79="Correctivo","Impacto",""))</f>
        <v>Probabilidad</v>
      </c>
      <c r="S79" s="170" t="s">
        <v>133</v>
      </c>
      <c r="T79" s="170" t="s">
        <v>113</v>
      </c>
      <c r="U79" s="171" t="str">
        <f t="shared" ref="U79:U83" si="134">IF(AND(S79="Preventivo",T79="Automático"),"50%",IF(AND(S79="Preventivo",T79="Manual"),"40%",IF(AND(S79="Detectivo",T79="Automático"),"40%",IF(AND(S79="Detectivo",T79="Manual"),"30%",IF(AND(S79="Correctivo",T79="Automático"),"35%",IF(AND(S79="Correctivo",T79="Manual"),"25%",""))))))</f>
        <v>30%</v>
      </c>
      <c r="V79" s="170" t="s">
        <v>119</v>
      </c>
      <c r="W79" s="170" t="s">
        <v>115</v>
      </c>
      <c r="X79" s="170" t="s">
        <v>134</v>
      </c>
      <c r="Y79" s="172">
        <f>IFERROR(IF(AND(R78="Probabilidad",R79="Probabilidad"),(AA78-(+AA78*U79)),IF(R79="Probabilidad",(J78-(+J78*U79)),IF(R79="Impacto",AA78,""))),"")</f>
        <v>9.8000000000000004E-2</v>
      </c>
      <c r="Z79" s="173" t="str">
        <f t="shared" ref="Z79:Z80" si="135">IFERROR(IF(Y79="","",IF(Y79&lt;=0.2,"Rara vez",IF(Y79&lt;=0.4,"Improbable",IF(Y79&lt;=0.6,"Posible",IF(Y79&lt;=0.8,"Probable","Casi Seguro"))))),"")</f>
        <v>Rara vez</v>
      </c>
      <c r="AA79" s="171">
        <f t="shared" ref="AA79:AA83" si="136">+Y79</f>
        <v>9.8000000000000004E-2</v>
      </c>
      <c r="AB79" s="173" t="str">
        <f t="shared" ref="AB79:AB80" si="137">IFERROR(IF(AC79="","",IF(AC79&lt;=0.6,"Moderado",IF(AC79&lt;=0.8,"Mayor","Catastrófico"))),"")</f>
        <v>Catastrófico</v>
      </c>
      <c r="AC79" s="171">
        <f>IFERROR(IF(AND(R78="Impacto",R79="Impacto"),(AC78-(+AC78*U79)),IF(R79="Impacto",(N78-(+N78*U79)),IF(R79="Probabilidad",AC78,""))),"")</f>
        <v>1</v>
      </c>
      <c r="AD79" s="174" t="str">
        <f>IFERROR(IF(OR(AND(Z79="Rara vez",AB79="Leve"),AND(Z79="Rara vez",AB79="Menor"),AND(Z79="Improbable",AB79="Leve")),"Bajo",IF(OR(AND(Z79="Rara vez",AB79="Moderado"),AND(Z79="Improbable",AB79="Menor"),AND(Z79="Improbable",AB79="Moderado"),AND(Z79="Posible",AB79="Leve"),AND(Z79="Posible",AB79="Menor"),AND(Z79="Posible",AB79="Moderado"),AND(Z79="Probable",AB79="Leve"),AND(Z79="Probable",AB79="Menor")),"Moderado",IF(OR(AND(Z79="Rara vez",AB79="Mayor"),AND(Z79="Improbable",AB79="Mayor"),AND(Z79="Posible",AB79="Mayor"),AND(Z79="Probable",AB79="Moderado"),AND(Z79="Probable",AB79="Mayor"),AND(Z79="Casi Seguro",AB79="Leve"),AND(Z79="Casi Seguro",AB79="Menor"),AND(Z79="Casi Seguro",AB79="Moderado"),AND(Z79="Casi Seguro",AB79="Mayor")),"Alto",IF(OR(AND(Z79="Rara vez",AB79="Catastrófico"),AND(Z79="Improbable",AB79="Catastrófico"),AND(Z79="Posible",AB79="Catastrófico"),AND(Z79="Probable",AB79="Catastrófico"),AND(Z79="Casi Seguro",AB79="Catastrófico")),"Extremo","")))),"")</f>
        <v>Extremo</v>
      </c>
      <c r="AE79" s="170"/>
      <c r="AF79" s="132"/>
      <c r="AG79" s="194"/>
      <c r="AH79" s="195"/>
      <c r="AI79" s="176"/>
      <c r="AJ79" s="181"/>
      <c r="AK79" s="522"/>
      <c r="AL79" s="535"/>
      <c r="AM79" s="535"/>
      <c r="AN79" s="535"/>
      <c r="AO79" s="535"/>
      <c r="AP79" s="535"/>
      <c r="AQ79" s="535"/>
      <c r="AR79" s="535"/>
      <c r="AS79" s="158"/>
      <c r="AT79" s="158"/>
      <c r="AU79" s="158"/>
      <c r="AV79" s="158"/>
      <c r="AW79" s="158"/>
      <c r="AX79" s="158"/>
      <c r="AY79" s="158"/>
      <c r="AZ79" s="158"/>
      <c r="BA79" s="158"/>
      <c r="BB79" s="158"/>
      <c r="BC79" s="158"/>
      <c r="BD79" s="158"/>
      <c r="BE79" s="158"/>
      <c r="BF79" s="158"/>
      <c r="BG79" s="158"/>
      <c r="BH79" s="158"/>
      <c r="BI79" s="158"/>
      <c r="BJ79" s="158"/>
    </row>
    <row r="80" spans="2:62" ht="53.25" customHeight="1" x14ac:dyDescent="0.2">
      <c r="B80" s="314"/>
      <c r="C80" s="324"/>
      <c r="D80" s="317"/>
      <c r="E80" s="313"/>
      <c r="F80" s="313"/>
      <c r="G80" s="304"/>
      <c r="H80" s="305"/>
      <c r="I80" s="306"/>
      <c r="J80" s="307"/>
      <c r="K80" s="308"/>
      <c r="L80" s="307">
        <f>IF(NOT(ISERROR(MATCH(K80,_xlfn.ANCHORARRAY(G322),0))),J324&amp;"Por favor no seleccionar los criterios de impacto",K80)</f>
        <v>0</v>
      </c>
      <c r="M80" s="306"/>
      <c r="N80" s="307"/>
      <c r="O80" s="309"/>
      <c r="P80" s="168">
        <v>3</v>
      </c>
      <c r="Q80" s="129" t="s">
        <v>238</v>
      </c>
      <c r="R80" s="169" t="s">
        <v>136</v>
      </c>
      <c r="S80" s="182" t="s">
        <v>137</v>
      </c>
      <c r="T80" s="170" t="s">
        <v>113</v>
      </c>
      <c r="U80" s="171" t="str">
        <f t="shared" si="134"/>
        <v>25%</v>
      </c>
      <c r="V80" s="170" t="s">
        <v>119</v>
      </c>
      <c r="W80" s="170" t="s">
        <v>115</v>
      </c>
      <c r="X80" s="170" t="s">
        <v>134</v>
      </c>
      <c r="Y80" s="172">
        <f>IFERROR(IF(AND(R79="Probabilidad",R80="Probabilidad"),(AA79-(+AA79*U80)),IF(AND(R79="Impacto",R80="Probabilidad"),(AA78-(+AA78*U80)),IF(R80="Impacto",AA79,""))),"")</f>
        <v>9.8000000000000004E-2</v>
      </c>
      <c r="Z80" s="173" t="str">
        <f t="shared" si="135"/>
        <v>Rara vez</v>
      </c>
      <c r="AA80" s="171">
        <f t="shared" si="136"/>
        <v>9.8000000000000004E-2</v>
      </c>
      <c r="AB80" s="173" t="str">
        <f t="shared" si="137"/>
        <v>Mayor</v>
      </c>
      <c r="AC80" s="171">
        <f>IFERROR(IF(AND(R79="Impacto",R80="Impacto"),(AC79-(+AC79*U80)),IF(AND(R79="Probabilidad",R80="Impacto"),(AC78-(+AC78*U80)),IF(R80="Probabilidad",AC79,""))),"")</f>
        <v>0.75</v>
      </c>
      <c r="AD80" s="174" t="str">
        <f>IFERROR(IF(OR(AND(Z80="Rara vez",AB80="Leve"),AND(Z80="Rara vez",AB80="Menor"),AND(Z80="Improbable",AB80="Leve")),"Bajo",IF(OR(AND(Z80="Rara vez",AB80="Moderado"),AND(Z80="Improbable",AB80="Menor"),AND(Z80="Improbable",AB80="Moderado"),AND(Z80="Posible",AB80="Leve"),AND(Z80="Posible",AB80="Menor"),AND(Z80="Posible",AB80="Moderado"),AND(Z80="Probable",AB80="Leve"),AND(Z80="Probable",AB80="Menor")),"Moderado",IF(OR(AND(Z80="Rara vez",AB80="Mayor"),AND(Z80="Improbable",AB80="Mayor"),AND(Z80="Posible",AB80="Mayor"),AND(Z80="Probable",AB80="Moderado"),AND(Z80="Probable",AB80="Mayor"),AND(Z80="Casi Seguro",AB80="Leve"),AND(Z80="Casi Seguro",AB80="Menor"),AND(Z80="Casi Seguro",AB80="Moderado"),AND(Z80="Casi Seguro",AB80="Mayor")),"Alto",IF(OR(AND(Z80="Rara vez",AB80="Catastrófico"),AND(Z80="Improbable",AB80="Catastrófico"),AND(Z80="Posible",AB80="Catastrófico"),AND(Z80="Probable",AB80="Catastrófico"),AND(Z80="Casi Seguro",AB80="Catastrófico")),"Extremo","")))),"")</f>
        <v>Alto</v>
      </c>
      <c r="AE80" s="196"/>
      <c r="AF80" s="184"/>
      <c r="AG80" s="185"/>
      <c r="AH80" s="186"/>
      <c r="AI80" s="187"/>
      <c r="AJ80" s="188"/>
      <c r="AK80" s="523"/>
      <c r="AL80" s="535"/>
      <c r="AM80" s="535"/>
      <c r="AN80" s="535"/>
      <c r="AO80" s="535"/>
      <c r="AP80" s="535"/>
      <c r="AQ80" s="535"/>
      <c r="AR80" s="535"/>
      <c r="AS80" s="158"/>
      <c r="AT80" s="158"/>
      <c r="AU80" s="158"/>
      <c r="AV80" s="158"/>
      <c r="AW80" s="158"/>
      <c r="AX80" s="158"/>
      <c r="AY80" s="158"/>
      <c r="AZ80" s="158"/>
      <c r="BA80" s="158"/>
      <c r="BB80" s="158"/>
      <c r="BC80" s="158"/>
      <c r="BD80" s="158"/>
      <c r="BE80" s="158"/>
      <c r="BF80" s="158"/>
      <c r="BG80" s="158"/>
      <c r="BH80" s="158"/>
      <c r="BI80" s="158"/>
      <c r="BJ80" s="158"/>
    </row>
    <row r="81" spans="2:62" ht="78.75" customHeight="1" x14ac:dyDescent="0.2">
      <c r="B81" s="314"/>
      <c r="C81" s="324"/>
      <c r="D81" s="317"/>
      <c r="E81" s="313"/>
      <c r="F81" s="313"/>
      <c r="G81" s="304"/>
      <c r="H81" s="305"/>
      <c r="I81" s="306"/>
      <c r="J81" s="307"/>
      <c r="K81" s="308"/>
      <c r="L81" s="307">
        <f>IF(NOT(ISERROR(MATCH(K81,_xlfn.ANCHORARRAY(G323),0))),J325&amp;"Por favor no seleccionar los criterios de impacto",K81)</f>
        <v>0</v>
      </c>
      <c r="M81" s="306"/>
      <c r="N81" s="307"/>
      <c r="O81" s="309"/>
      <c r="P81" s="168">
        <v>4</v>
      </c>
      <c r="Q81" s="129" t="s">
        <v>239</v>
      </c>
      <c r="R81" s="169" t="s">
        <v>136</v>
      </c>
      <c r="S81" s="182" t="s">
        <v>137</v>
      </c>
      <c r="T81" s="170" t="s">
        <v>113</v>
      </c>
      <c r="U81" s="171" t="str">
        <f t="shared" si="134"/>
        <v>25%</v>
      </c>
      <c r="V81" s="170" t="s">
        <v>119</v>
      </c>
      <c r="W81" s="170" t="s">
        <v>115</v>
      </c>
      <c r="X81" s="170" t="s">
        <v>134</v>
      </c>
      <c r="Y81" s="172">
        <f t="shared" ref="Y81:Y83" si="138">IFERROR(IF(AND(R80="Probabilidad",R81="Probabilidad"),(AA80-(+AA80*U81)),IF(AND(R80="Impacto",R81="Probabilidad"),(AA79-(+AA79*U81)),IF(R81="Impacto",AA80,""))),"")</f>
        <v>9.8000000000000004E-2</v>
      </c>
      <c r="Z81" s="197" t="s">
        <v>156</v>
      </c>
      <c r="AA81" s="171">
        <f t="shared" si="136"/>
        <v>9.8000000000000004E-2</v>
      </c>
      <c r="AB81" s="173" t="str">
        <f t="shared" ref="AB81" si="139">IFERROR(IF(AC81="","",IF(AC81&lt;=0.2,"Leve",IF(AC81&lt;=0.4,"Menor",IF(AC81&lt;=0.6,"Moderado",IF(AC81&lt;=0.8,"Mayor","Catastrófico"))))),"")</f>
        <v>Moderado</v>
      </c>
      <c r="AC81" s="171">
        <f t="shared" ref="AC81:AC83" si="140">IFERROR(IF(AND(R80="Impacto",R81="Impacto"),(AC80-(+AC80*U81)),IF(AND(R80="Probabilidad",R81="Impacto"),(AC79-(+AC79*U81)),IF(R81="Probabilidad",AC80,""))),"")</f>
        <v>0.5625</v>
      </c>
      <c r="AD81" s="174" t="str">
        <f>IFERROR(IF(OR(AND(Z81="Rara vez",AB81="Leve"),AND(Z81="Rara vez",AB81="Menor"),AND(Z81="Improbable",AB81="Leve")),"Bajo",IF(OR(AND(Z81="Rara vez",AB81="Moderado"),AND(Z81="Improbable",AB81="Menor"),AND(Z81="Improbable",AB81="Moderado"),AND(Z81="Posible",AB81="Leve"),AND(Z81="Posible",AB81="Menor"),AND(Z81="Posible",AB81="Moderado"),AND(Z81="Probable",AB81="Leve"),AND(Z81="Probable",AB81="Menor")),"Moderado",IF(OR(AND(Z81="Rara vez",AB81="Mayor"),AND(Z81="Improbable",AB81="Mayor"),AND(Z81="Posible",AB81="Mayor"),AND(Z81="Probable",AB81="Moderado"),AND(Z81="Probable",AB81="Mayor"),AND(Z81="Casi Seguro",AB81="Leve"),AND(Z81="Casi Seguro",AB81="Menor"),AND(Z81="Casi Seguro",AB81="Moderado"),AND(Z81="Casi Seguro",AB81="Mayor")),"Alto",IF(OR(AND(Z81="Rara vez",AB81="Catastrófico"),AND(Z81="Improbable",AB81="Catastrófico"),AND(Z81="Posible",AB81="Catastrófico"),AND(Z81="Probable",AB81="Catastrófico"),AND(Z81="Casi Seguro",AB81="Catastrófico")),"Extremo","")))),"")</f>
        <v>Moderado</v>
      </c>
      <c r="AE81" s="170" t="s">
        <v>120</v>
      </c>
      <c r="AF81" s="136"/>
      <c r="AG81" s="136"/>
      <c r="AH81" s="131"/>
      <c r="AI81" s="136"/>
      <c r="AJ81" s="200"/>
      <c r="AK81" s="524"/>
      <c r="AL81" s="535"/>
      <c r="AM81" s="535"/>
      <c r="AN81" s="535"/>
      <c r="AO81" s="535"/>
      <c r="AP81" s="535"/>
      <c r="AQ81" s="535"/>
      <c r="AR81" s="535"/>
      <c r="AS81" s="158"/>
      <c r="AT81" s="158"/>
      <c r="AU81" s="158"/>
      <c r="AV81" s="158"/>
      <c r="AW81" s="158"/>
      <c r="AX81" s="158"/>
      <c r="AY81" s="158"/>
      <c r="AZ81" s="158"/>
      <c r="BA81" s="158"/>
      <c r="BB81" s="158"/>
      <c r="BC81" s="158"/>
      <c r="BD81" s="158"/>
      <c r="BE81" s="158"/>
      <c r="BF81" s="158"/>
      <c r="BG81" s="158"/>
      <c r="BH81" s="158"/>
      <c r="BI81" s="158"/>
      <c r="BJ81" s="158"/>
    </row>
    <row r="82" spans="2:62" ht="18.75" customHeight="1" x14ac:dyDescent="0.2">
      <c r="B82" s="314"/>
      <c r="C82" s="324"/>
      <c r="D82" s="317"/>
      <c r="E82" s="313"/>
      <c r="F82" s="313"/>
      <c r="G82" s="304"/>
      <c r="H82" s="305"/>
      <c r="I82" s="306"/>
      <c r="J82" s="307"/>
      <c r="K82" s="308"/>
      <c r="L82" s="307">
        <f>IF(NOT(ISERROR(MATCH(K82,_xlfn.ANCHORARRAY(G324),0))),J326&amp;"Por favor no seleccionar los criterios de impacto",K82)</f>
        <v>0</v>
      </c>
      <c r="M82" s="306"/>
      <c r="N82" s="307"/>
      <c r="O82" s="309"/>
      <c r="P82" s="168">
        <v>5</v>
      </c>
      <c r="Q82" s="127"/>
      <c r="R82" s="169" t="str">
        <f t="shared" ref="R82:R83" si="141">IF(OR(S82="Preventivo",S82="Detectivo"),"Probabilidad",IF(S82="Correctivo","Impacto",""))</f>
        <v/>
      </c>
      <c r="S82" s="170"/>
      <c r="T82" s="170"/>
      <c r="U82" s="171" t="str">
        <f t="shared" si="134"/>
        <v/>
      </c>
      <c r="V82" s="170"/>
      <c r="W82" s="170"/>
      <c r="X82" s="170"/>
      <c r="Y82" s="172" t="str">
        <f t="shared" si="138"/>
        <v/>
      </c>
      <c r="Z82" s="173" t="str">
        <f t="shared" ref="Z82:Z83" si="142">IFERROR(IF(Y82="","",IF(Y82&lt;=0.2,"Rara vez",IF(Y82&lt;=0.4,"Improbable",IF(Y82&lt;=0.6,"Posible",IF(Y82&lt;=0.8,"Probable","Casi Seguro"))))),"")</f>
        <v/>
      </c>
      <c r="AA82" s="171" t="str">
        <f t="shared" si="136"/>
        <v/>
      </c>
      <c r="AB82" s="173" t="str">
        <f t="shared" ref="AB82:AB83" si="143">IFERROR(IF(AC82="","",IF(AC82&lt;=0.6,"Moderado",IF(AC82&lt;=0.8,"Mayor","Catastrófico"))),"")</f>
        <v/>
      </c>
      <c r="AC82" s="171" t="str">
        <f t="shared" si="140"/>
        <v/>
      </c>
      <c r="AD82" s="174" t="str">
        <f t="shared" ref="AD82:AD83" si="144">IFERROR(IF(OR(AND(Z82="Muy Baja",AB82="Leve"),AND(Z82="Muy Baja",AB82="Menor"),AND(Z82="Baja",AB82="Leve")),"Bajo",IF(OR(AND(Z82="Muy baja",AB82="Moderado"),AND(Z82="Baja",AB82="Menor"),AND(Z82="Baja",AB82="Moderado"),AND(Z82="Media",AB82="Leve"),AND(Z82="Media",AB82="Menor"),AND(Z82="Media",AB82="Moderado"),AND(Z82="Alta",AB82="Leve"),AND(Z82="Alta",AB82="Menor")),"Moderado",IF(OR(AND(Z82="Muy Baja",AB82="Mayor"),AND(Z82="Baja",AB82="Mayor"),AND(Z82="Media",AB82="Mayor"),AND(Z82="Alta",AB82="Moderado"),AND(Z82="Alta",AB82="Mayor"),AND(Z82="Muy Alta",AB82="Leve"),AND(Z82="Muy Alta",AB82="Menor"),AND(Z82="Muy Alta",AB82="Moderado"),AND(Z82="Muy Alta",AB82="Mayor")),"Alto",IF(OR(AND(Z82="Muy Baja",AB82="Catastrófico"),AND(Z82="Baja",AB82="Catastrófico"),AND(Z82="Media",AB82="Catastrófico"),AND(Z82="Alta",AB82="Catastrófico"),AND(Z82="Muy Alta",AB82="Catastrófico")),"Extremo","")))),"")</f>
        <v/>
      </c>
      <c r="AE82" s="179"/>
      <c r="AF82" s="192"/>
      <c r="AG82" s="193"/>
      <c r="AH82" s="176"/>
      <c r="AI82" s="176"/>
      <c r="AJ82" s="177"/>
      <c r="AK82" s="522"/>
      <c r="AL82" s="535"/>
      <c r="AM82" s="535"/>
      <c r="AN82" s="535"/>
      <c r="AO82" s="535"/>
      <c r="AP82" s="535"/>
      <c r="AQ82" s="535"/>
      <c r="AR82" s="535"/>
      <c r="AS82" s="158"/>
      <c r="AT82" s="158"/>
      <c r="AU82" s="158"/>
      <c r="AV82" s="158"/>
      <c r="AW82" s="158"/>
      <c r="AX82" s="158"/>
      <c r="AY82" s="158"/>
      <c r="AZ82" s="158"/>
      <c r="BA82" s="158"/>
      <c r="BB82" s="158"/>
      <c r="BC82" s="158"/>
      <c r="BD82" s="158"/>
      <c r="BE82" s="158"/>
      <c r="BF82" s="158"/>
      <c r="BG82" s="158"/>
      <c r="BH82" s="158"/>
      <c r="BI82" s="158"/>
      <c r="BJ82" s="158"/>
    </row>
    <row r="83" spans="2:62" ht="28.5" customHeight="1" x14ac:dyDescent="0.2">
      <c r="B83" s="314"/>
      <c r="C83" s="324"/>
      <c r="D83" s="317"/>
      <c r="E83" s="313"/>
      <c r="F83" s="313"/>
      <c r="G83" s="304"/>
      <c r="H83" s="305"/>
      <c r="I83" s="306"/>
      <c r="J83" s="307"/>
      <c r="K83" s="308"/>
      <c r="L83" s="307">
        <f>IF(NOT(ISERROR(MATCH(K83,_xlfn.ANCHORARRAY(G325),0))),J327&amp;"Por favor no seleccionar los criterios de impacto",K83)</f>
        <v>0</v>
      </c>
      <c r="M83" s="306"/>
      <c r="N83" s="307"/>
      <c r="O83" s="309"/>
      <c r="P83" s="168">
        <v>6</v>
      </c>
      <c r="Q83" s="127"/>
      <c r="R83" s="169" t="str">
        <f t="shared" si="141"/>
        <v/>
      </c>
      <c r="S83" s="170"/>
      <c r="T83" s="170"/>
      <c r="U83" s="171" t="str">
        <f t="shared" si="134"/>
        <v/>
      </c>
      <c r="V83" s="170"/>
      <c r="W83" s="170"/>
      <c r="X83" s="170"/>
      <c r="Y83" s="172" t="str">
        <f t="shared" si="138"/>
        <v/>
      </c>
      <c r="Z83" s="173" t="str">
        <f t="shared" si="142"/>
        <v/>
      </c>
      <c r="AA83" s="171" t="str">
        <f t="shared" si="136"/>
        <v/>
      </c>
      <c r="AB83" s="173" t="str">
        <f t="shared" si="143"/>
        <v/>
      </c>
      <c r="AC83" s="171" t="str">
        <f t="shared" si="140"/>
        <v/>
      </c>
      <c r="AD83" s="174" t="str">
        <f t="shared" si="144"/>
        <v/>
      </c>
      <c r="AE83" s="179"/>
      <c r="AF83" s="192"/>
      <c r="AG83" s="193"/>
      <c r="AH83" s="176"/>
      <c r="AI83" s="176"/>
      <c r="AJ83" s="177"/>
      <c r="AK83" s="522"/>
      <c r="AL83" s="535"/>
      <c r="AM83" s="535"/>
      <c r="AN83" s="535"/>
      <c r="AO83" s="535"/>
      <c r="AP83" s="535"/>
      <c r="AQ83" s="535"/>
      <c r="AR83" s="535"/>
      <c r="AS83" s="158"/>
      <c r="AT83" s="158"/>
      <c r="AU83" s="158"/>
      <c r="AV83" s="158"/>
      <c r="AW83" s="158"/>
      <c r="AX83" s="158"/>
      <c r="AY83" s="158"/>
      <c r="AZ83" s="158"/>
      <c r="BA83" s="158"/>
      <c r="BB83" s="158"/>
      <c r="BC83" s="158"/>
      <c r="BD83" s="158"/>
      <c r="BE83" s="158"/>
      <c r="BF83" s="158"/>
      <c r="BG83" s="158"/>
      <c r="BH83" s="158"/>
      <c r="BI83" s="158"/>
      <c r="BJ83" s="158"/>
    </row>
    <row r="84" spans="2:62" s="163" customFormat="1" ht="105" customHeight="1" x14ac:dyDescent="0.25">
      <c r="B84" s="314" t="s">
        <v>240</v>
      </c>
      <c r="C84" s="324" t="s">
        <v>220</v>
      </c>
      <c r="D84" s="317" t="s">
        <v>241</v>
      </c>
      <c r="E84" s="313" t="s">
        <v>127</v>
      </c>
      <c r="F84" s="313" t="s">
        <v>242</v>
      </c>
      <c r="G84" s="304" t="s">
        <v>243</v>
      </c>
      <c r="H84" s="305" t="s">
        <v>109</v>
      </c>
      <c r="I84" s="306" t="str">
        <f>IF(H84&lt;=0,"",IF(H84="No se ha presentado en los últimos 5 años","Rara vez",IF(H84="Al menos 1 vez en los últimos 5 años","Improbable",IF(H84="Al menos 1 vez en los últimos 2 años","Posible",IF(H84="Al menos 1 vez en el último año","Probable",IF(H84="Más de 1 vez al año","Casi Seguro"))))))</f>
        <v>Rara vez</v>
      </c>
      <c r="J84" s="307">
        <f>IF(I84="","",IF(I84="Rara vez",0.2,IF(I84="Improbable",0.4,IF(I84="Posible",0.6,IF(I84="Probable",0.8,IF(I84="Casi Seguro",1,))))))</f>
        <v>0.2</v>
      </c>
      <c r="K84" s="308" t="s">
        <v>131</v>
      </c>
      <c r="L84" s="307" t="str">
        <f>IF(NOT(ISERROR(MATCH(K84,'Tabla Impacto'!$B$220:$B$222,0))),'Tabla Impacto'!$F$222&amp;"Por favor no seleccionar los criterios de impacto(Criterios para calificar el impacto)",K84)</f>
        <v xml:space="preserve">Responder afirmativamente de DOCE a DIECINUEVE </v>
      </c>
      <c r="M84" s="306" t="str">
        <f>IF(OR(L84='Tabla Impacto'!$C$5),"Moderado",IF(OR(L84='Tabla Impacto'!$C$6),"Mayor",IF(OR(L84='Tabla Impacto'!$C$7),"Catastrófico","")))</f>
        <v>Catastrófico</v>
      </c>
      <c r="N84" s="307">
        <f>IF(M84="","",IF(M84="Leve",0.2,IF(M84="Menor",0.4,IF(M84="Moderado",0.6,IF(M84="Mayor",0.8,IF(M84="Catastrófico",1,))))))</f>
        <v>1</v>
      </c>
      <c r="O84" s="309" t="str">
        <f>IF(OR(AND(I84="Rara vez",M84="Leve"),AND(I84="Rara vez",M84="Menor"),AND(I84="Improbable",M84="Leve")),"Bajo",IF(OR(AND(I84="Rara vez",M84="Moderado"),AND(I84="Improbable",M84="Menor"),AND(I84="Improbable",M84="Moderado"),AND(I84="Posible",M84="Leve"),AND(I84="Posible",M84="Menor"),AND(I84="Posible",M84="Moderado"),AND(I84="Probable",M84="Leve"),AND(I84="Probable",M84="Menor")),"Moderado",IF(OR(AND(I84="Rara vez",M84="Mayor"),AND(I84="Improbable",M84="Mayor"),AND(I84="Posible",M84="Mayor"),AND(I84="Probable",M84="Moderado"),AND(I84="Probable",M84="Mayor"),AND(I84="Casi Seguro",M84="Leve"),AND(I84="Casi Seguro",M84="Menor"),AND(I84="Casi Seguro",M84="Moderado"),AND(I84="Casi Seguro",M84="Mayor")),"Alto",IF(OR(AND(I84="Rara vez",M84="Catastrófico"),AND(I84="Improbable",M84="Catastrófico"),AND(I84="Posible",M84="Catastrófico"),AND(I84="Probable",M84="Catastrófico"),AND(I84="Casi Seguro",M84="Catastrófico")),"Extremo",""))))</f>
        <v>Extremo</v>
      </c>
      <c r="P84" s="168">
        <v>1</v>
      </c>
      <c r="Q84" s="134" t="s">
        <v>244</v>
      </c>
      <c r="R84" s="169" t="str">
        <f>IF(OR(S84="Preventivo",S84="Detectivo"),"Probabilidad",IF(S84="Correctivo","Impacto",""))</f>
        <v>Probabilidad</v>
      </c>
      <c r="S84" s="170" t="s">
        <v>112</v>
      </c>
      <c r="T84" s="170" t="s">
        <v>113</v>
      </c>
      <c r="U84" s="171" t="str">
        <f>IF(AND(S84="Preventivo",T84="Automático"),"50%",IF(AND(S84="Preventivo",T84="Manual"),"40%",IF(AND(S84="Detectivo",T84="Automático"),"40%",IF(AND(S84="Detectivo",T84="Manual"),"30%",IF(AND(S84="Correctivo",T84="Automático"),"35%",IF(AND(S84="Correctivo",T84="Manual"),"25%",""))))))</f>
        <v>40%</v>
      </c>
      <c r="V84" s="170" t="s">
        <v>119</v>
      </c>
      <c r="W84" s="170" t="s">
        <v>115</v>
      </c>
      <c r="X84" s="170" t="s">
        <v>134</v>
      </c>
      <c r="Y84" s="172">
        <f>IFERROR(IF(R84="Probabilidad",(J84-(+J84*U84)),IF(R84="Impacto",J84,"")),"")</f>
        <v>0.12</v>
      </c>
      <c r="Z84" s="173" t="str">
        <f>IFERROR(IF(Y84="","",IF(Y84&lt;=0.2,"Rara vez",IF(Y84&lt;=0.4,"Improbable",IF(Y84&lt;=0.6,"Posible",IF(Y84&lt;=0.8,"Probable","Casi Seguro"))))),"")</f>
        <v>Rara vez</v>
      </c>
      <c r="AA84" s="171">
        <f>+Y84</f>
        <v>0.12</v>
      </c>
      <c r="AB84" s="173" t="str">
        <f>IFERROR(IF(AC84="","",IF(AC84&lt;=0.6,"Moderado",IF(AC84&lt;=0.8,"Mayor","Catastrófico"))),"")</f>
        <v>Catastrófico</v>
      </c>
      <c r="AC84" s="171">
        <f>IFERROR(IF(R84="Impacto",(N84-(+N84*U84)),IF(R84="Probabilidad",N84,"")),"")</f>
        <v>1</v>
      </c>
      <c r="AD84" s="174" t="str">
        <f>IFERROR(IF(OR(AND(Z84="Rara vez",AB84="Leve"),AND(Z84="Rara vez",AB84="Menor"),AND(Z84="Improbable",AB84="Leve")),"Bajo",IF(OR(AND(Z84="Rara vez",AB84="Moderado"),AND(Z84="Improbable",AB84="Menor"),AND(Z84="Improbable",AB84="Moderado"),AND(Z84="Posible",AB84="Leve"),AND(Z84="Posible",AB84="Menor"),AND(Z84="Posible",AB84="Moderado"),AND(Z84="Probable",AB84="Leve"),AND(Z84="Probable",AB84="Menor")),"Moderado",IF(OR(AND(Z84="Rara vez",AB84="Mayor"),AND(Z84="Improbable",AB84="Mayor"),AND(Z84="Posible",AB84="Mayor"),AND(Z84="Probable",AB84="Moderado"),AND(Z84="Probable",AB84="Mayor"),AND(Z84="Casi Seguro",AB84="Leve"),AND(Z84="Casi Seguro",AB84="Menor"),AND(Z84="Casi Seguro",AB84="Moderado"),AND(Z84="Casi Seguro",AB84="Mayor")),"Alto",IF(OR(AND(Z84="Rara vez",AB84="Catastrófico"),AND(Z84="Improbable",AB84="Catastrófico"),AND(Z84="Posible",AB84="Catastrófico"),AND(Z84="Probable",AB84="Catastrófico"),AND(Z84="Casi Seguro",AB84="Catastrófico")),"Extremo","")))),"")</f>
        <v>Extremo</v>
      </c>
      <c r="AE84" s="170"/>
      <c r="AF84" s="123"/>
      <c r="AG84" s="123"/>
      <c r="AH84" s="175"/>
      <c r="AI84" s="176"/>
      <c r="AJ84" s="177"/>
      <c r="AK84" s="522"/>
      <c r="AL84" s="534"/>
      <c r="AM84" s="534"/>
      <c r="AN84" s="534"/>
      <c r="AO84" s="534"/>
      <c r="AP84" s="534"/>
      <c r="AQ84" s="534"/>
      <c r="AR84" s="534"/>
      <c r="AS84" s="178"/>
      <c r="AT84" s="178"/>
      <c r="AU84" s="178"/>
      <c r="AV84" s="178"/>
      <c r="AW84" s="178"/>
      <c r="AX84" s="178"/>
      <c r="AY84" s="178"/>
      <c r="AZ84" s="178"/>
      <c r="BA84" s="178"/>
      <c r="BB84" s="178"/>
      <c r="BC84" s="178"/>
      <c r="BD84" s="178"/>
      <c r="BE84" s="178"/>
      <c r="BF84" s="178"/>
      <c r="BG84" s="178"/>
      <c r="BH84" s="178"/>
      <c r="BI84" s="178"/>
      <c r="BJ84" s="178"/>
    </row>
    <row r="85" spans="2:62" ht="84" customHeight="1" x14ac:dyDescent="0.2">
      <c r="B85" s="314"/>
      <c r="C85" s="324"/>
      <c r="D85" s="317"/>
      <c r="E85" s="313"/>
      <c r="F85" s="313"/>
      <c r="G85" s="304"/>
      <c r="H85" s="305"/>
      <c r="I85" s="306"/>
      <c r="J85" s="307"/>
      <c r="K85" s="308"/>
      <c r="L85" s="307">
        <f>IF(NOT(ISERROR(MATCH(K85,_xlfn.ANCHORARRAY(G327),0))),J329&amp;"Por favor no seleccionar los criterios de impacto",K85)</f>
        <v>0</v>
      </c>
      <c r="M85" s="306"/>
      <c r="N85" s="307"/>
      <c r="O85" s="309"/>
      <c r="P85" s="168">
        <v>2</v>
      </c>
      <c r="Q85" s="134" t="s">
        <v>245</v>
      </c>
      <c r="R85" s="169" t="str">
        <f>IF(OR(S85="Preventivo",S85="Detectivo"),"Probabilidad",IF(S85="Correctivo","Impacto",""))</f>
        <v>Probabilidad</v>
      </c>
      <c r="S85" s="170" t="s">
        <v>133</v>
      </c>
      <c r="T85" s="170" t="s">
        <v>113</v>
      </c>
      <c r="U85" s="171" t="str">
        <f t="shared" ref="U85:U88" si="145">IF(AND(S85="Preventivo",T85="Automático"),"50%",IF(AND(S85="Preventivo",T85="Manual"),"40%",IF(AND(S85="Detectivo",T85="Automático"),"40%",IF(AND(S85="Detectivo",T85="Manual"),"30%",IF(AND(S85="Correctivo",T85="Automático"),"35%",IF(AND(S85="Correctivo",T85="Manual"),"25%",""))))))</f>
        <v>30%</v>
      </c>
      <c r="V85" s="170" t="s">
        <v>119</v>
      </c>
      <c r="W85" s="170" t="s">
        <v>115</v>
      </c>
      <c r="X85" s="170" t="s">
        <v>134</v>
      </c>
      <c r="Y85" s="172">
        <f>IFERROR(IF(AND(R84="Probabilidad",R85="Probabilidad"),(AA84-(+AA84*U85)),IF(R85="Probabilidad",(J84-(+J84*U85)),IF(R85="Impacto",AA84,""))),"")</f>
        <v>8.3999999999999991E-2</v>
      </c>
      <c r="Z85" s="173" t="str">
        <f t="shared" ref="Z85:Z86" si="146">IFERROR(IF(Y85="","",IF(Y85&lt;=0.2,"Rara vez",IF(Y85&lt;=0.4,"Improbable",IF(Y85&lt;=0.6,"Posible",IF(Y85&lt;=0.8,"Probable","Casi Seguro"))))),"")</f>
        <v>Rara vez</v>
      </c>
      <c r="AA85" s="171">
        <f t="shared" ref="AA85:AA88" si="147">+Y85</f>
        <v>8.3999999999999991E-2</v>
      </c>
      <c r="AB85" s="173" t="str">
        <f t="shared" ref="AB85:AB86" si="148">IFERROR(IF(AC85="","",IF(AC85&lt;=0.6,"Moderado",IF(AC85&lt;=0.8,"Mayor","Catastrófico"))),"")</f>
        <v>Catastrófico</v>
      </c>
      <c r="AC85" s="171">
        <f>IFERROR(IF(AND(R84="Impacto",R85="Impacto"),(AC84-(+AC84*U85)),IF(R85="Impacto",(N84-(+N84*U85)),IF(R85="Probabilidad",AC84,""))),"")</f>
        <v>1</v>
      </c>
      <c r="AD85" s="174" t="str">
        <f>IFERROR(IF(OR(AND(Z85="Rara vez",AB85="Leve"),AND(Z85="Rara vez",AB85="Menor"),AND(Z85="Improbable",AB85="Leve")),"Bajo",IF(OR(AND(Z85="Rara vez",AB85="Moderado"),AND(Z85="Improbable",AB85="Menor"),AND(Z85="Improbable",AB85="Moderado"),AND(Z85="Posible",AB85="Leve"),AND(Z85="Posible",AB85="Menor"),AND(Z85="Posible",AB85="Moderado"),AND(Z85="Probable",AB85="Leve"),AND(Z85="Probable",AB85="Menor")),"Moderado",IF(OR(AND(Z85="Rara vez",AB85="Mayor"),AND(Z85="Improbable",AB85="Mayor"),AND(Z85="Posible",AB85="Mayor"),AND(Z85="Probable",AB85="Moderado"),AND(Z85="Probable",AB85="Mayor"),AND(Z85="Casi Seguro",AB85="Leve"),AND(Z85="Casi Seguro",AB85="Menor"),AND(Z85="Casi Seguro",AB85="Moderado"),AND(Z85="Casi Seguro",AB85="Mayor")),"Alto",IF(OR(AND(Z85="Rara vez",AB85="Catastrófico"),AND(Z85="Improbable",AB85="Catastrófico"),AND(Z85="Posible",AB85="Catastrófico"),AND(Z85="Probable",AB85="Catastrófico"),AND(Z85="Casi Seguro",AB85="Catastrófico")),"Extremo","")))),"")</f>
        <v>Extremo</v>
      </c>
      <c r="AE85" s="170"/>
      <c r="AF85" s="132"/>
      <c r="AG85" s="194"/>
      <c r="AH85" s="195"/>
      <c r="AI85" s="176"/>
      <c r="AJ85" s="181"/>
      <c r="AK85" s="522"/>
      <c r="AL85" s="535"/>
      <c r="AM85" s="535"/>
      <c r="AN85" s="535"/>
      <c r="AO85" s="535"/>
      <c r="AP85" s="535"/>
      <c r="AQ85" s="535"/>
      <c r="AR85" s="535"/>
      <c r="AS85" s="158"/>
      <c r="AT85" s="158"/>
      <c r="AU85" s="158"/>
      <c r="AV85" s="158"/>
      <c r="AW85" s="158"/>
      <c r="AX85" s="158"/>
      <c r="AY85" s="158"/>
      <c r="AZ85" s="158"/>
      <c r="BA85" s="158"/>
      <c r="BB85" s="158"/>
      <c r="BC85" s="158"/>
      <c r="BD85" s="158"/>
      <c r="BE85" s="158"/>
      <c r="BF85" s="158"/>
      <c r="BG85" s="158"/>
      <c r="BH85" s="158"/>
      <c r="BI85" s="158"/>
      <c r="BJ85" s="158"/>
    </row>
    <row r="86" spans="2:62" ht="63" customHeight="1" x14ac:dyDescent="0.2">
      <c r="B86" s="314"/>
      <c r="C86" s="324"/>
      <c r="D86" s="317"/>
      <c r="E86" s="313"/>
      <c r="F86" s="313"/>
      <c r="G86" s="304"/>
      <c r="H86" s="305"/>
      <c r="I86" s="306"/>
      <c r="J86" s="307"/>
      <c r="K86" s="308"/>
      <c r="L86" s="307">
        <f>IF(NOT(ISERROR(MATCH(K86,_xlfn.ANCHORARRAY(G328),0))),J330&amp;"Por favor no seleccionar los criterios de impacto",K86)</f>
        <v>0</v>
      </c>
      <c r="M86" s="306"/>
      <c r="N86" s="307"/>
      <c r="O86" s="309"/>
      <c r="P86" s="168">
        <v>3</v>
      </c>
      <c r="Q86" s="129" t="s">
        <v>246</v>
      </c>
      <c r="R86" s="169" t="s">
        <v>136</v>
      </c>
      <c r="S86" s="182" t="s">
        <v>137</v>
      </c>
      <c r="T86" s="170" t="s">
        <v>113</v>
      </c>
      <c r="U86" s="171" t="str">
        <f t="shared" si="145"/>
        <v>25%</v>
      </c>
      <c r="V86" s="170" t="s">
        <v>119</v>
      </c>
      <c r="W86" s="170" t="s">
        <v>115</v>
      </c>
      <c r="X86" s="170" t="s">
        <v>134</v>
      </c>
      <c r="Y86" s="172">
        <f>IFERROR(IF(AND(R85="Probabilidad",R86="Probabilidad"),(AA85-(+AA85*U86)),IF(AND(R85="Impacto",R86="Probabilidad"),(AA84-(+AA84*U86)),IF(R86="Impacto",AA85,""))),"")</f>
        <v>8.3999999999999991E-2</v>
      </c>
      <c r="Z86" s="173" t="str">
        <f t="shared" si="146"/>
        <v>Rara vez</v>
      </c>
      <c r="AA86" s="171">
        <f t="shared" si="147"/>
        <v>8.3999999999999991E-2</v>
      </c>
      <c r="AB86" s="173" t="str">
        <f t="shared" si="148"/>
        <v>Mayor</v>
      </c>
      <c r="AC86" s="171">
        <f>IFERROR(IF(AND(R85="Impacto",R86="Impacto"),(AC85-(+AC85*U86)),IF(AND(R85="Probabilidad",R86="Impacto"),(AC84-(+AC84*U86)),IF(R86="Probabilidad",AC85,""))),"")</f>
        <v>0.75</v>
      </c>
      <c r="AD86" s="174" t="str">
        <f>IFERROR(IF(OR(AND(Z86="Rara vez",AB86="Leve"),AND(Z86="Rara vez",AB86="Menor"),AND(Z86="Improbable",AB86="Leve")),"Bajo",IF(OR(AND(Z86="Rara vez",AB86="Moderado"),AND(Z86="Improbable",AB86="Menor"),AND(Z86="Improbable",AB86="Moderado"),AND(Z86="Posible",AB86="Leve"),AND(Z86="Posible",AB86="Menor"),AND(Z86="Posible",AB86="Moderado"),AND(Z86="Probable",AB86="Leve"),AND(Z86="Probable",AB86="Menor")),"Moderado",IF(OR(AND(Z86="Rara vez",AB86="Mayor"),AND(Z86="Improbable",AB86="Mayor"),AND(Z86="Posible",AB86="Mayor"),AND(Z86="Probable",AB86="Moderado"),AND(Z86="Probable",AB86="Mayor"),AND(Z86="Casi Seguro",AB86="Leve"),AND(Z86="Casi Seguro",AB86="Menor"),AND(Z86="Casi Seguro",AB86="Moderado"),AND(Z86="Casi Seguro",AB86="Mayor")),"Alto",IF(OR(AND(Z86="Rara vez",AB86="Catastrófico"),AND(Z86="Improbable",AB86="Catastrófico"),AND(Z86="Posible",AB86="Catastrófico"),AND(Z86="Probable",AB86="Catastrófico"),AND(Z86="Casi Seguro",AB86="Catastrófico")),"Extremo","")))),"")</f>
        <v>Alto</v>
      </c>
      <c r="AE86" s="196" t="s">
        <v>120</v>
      </c>
      <c r="AF86" s="184" t="s">
        <v>247</v>
      </c>
      <c r="AG86" s="184" t="s">
        <v>248</v>
      </c>
      <c r="AH86" s="186">
        <v>46022</v>
      </c>
      <c r="AI86" s="187"/>
      <c r="AJ86" s="188"/>
      <c r="AK86" s="523" t="s">
        <v>123</v>
      </c>
      <c r="AL86" s="535"/>
      <c r="AM86" s="535"/>
      <c r="AN86" s="535"/>
      <c r="AO86" s="535"/>
      <c r="AP86" s="535"/>
      <c r="AQ86" s="535"/>
      <c r="AR86" s="535"/>
      <c r="AS86" s="158"/>
      <c r="AT86" s="158"/>
      <c r="AU86" s="158"/>
      <c r="AV86" s="158"/>
      <c r="AW86" s="158"/>
      <c r="AX86" s="158"/>
      <c r="AY86" s="158"/>
      <c r="AZ86" s="158"/>
      <c r="BA86" s="158"/>
      <c r="BB86" s="158"/>
      <c r="BC86" s="158"/>
      <c r="BD86" s="158"/>
      <c r="BE86" s="158"/>
      <c r="BF86" s="158"/>
      <c r="BG86" s="158"/>
      <c r="BH86" s="158"/>
      <c r="BI86" s="158"/>
      <c r="BJ86" s="158"/>
    </row>
    <row r="87" spans="2:62" x14ac:dyDescent="0.2">
      <c r="B87" s="314"/>
      <c r="C87" s="324"/>
      <c r="D87" s="317"/>
      <c r="E87" s="313"/>
      <c r="F87" s="313"/>
      <c r="G87" s="304"/>
      <c r="H87" s="305"/>
      <c r="I87" s="306"/>
      <c r="J87" s="307"/>
      <c r="K87" s="308"/>
      <c r="L87" s="307">
        <f>IF(NOT(ISERROR(MATCH(K87,_xlfn.ANCHORARRAY(G330),0))),J332&amp;"Por favor no seleccionar los criterios de impacto",K87)</f>
        <v>0</v>
      </c>
      <c r="M87" s="306"/>
      <c r="N87" s="307"/>
      <c r="O87" s="309"/>
      <c r="P87" s="168"/>
      <c r="R87" s="169" t="str">
        <f t="shared" ref="R87:R88" si="149">IF(OR(S87="Preventivo",S87="Detectivo"),"Probabilidad",IF(S87="Correctivo","Impacto",""))</f>
        <v/>
      </c>
      <c r="S87" s="170"/>
      <c r="T87" s="170"/>
      <c r="U87" s="171" t="str">
        <f t="shared" si="145"/>
        <v/>
      </c>
      <c r="V87" s="170"/>
      <c r="W87" s="170"/>
      <c r="X87" s="170"/>
      <c r="Y87" s="172" t="str">
        <f>IFERROR(IF(AND(#REF!="Probabilidad",R87="Probabilidad"),(#REF!-(+#REF!*U87)),IF(AND(#REF!="Impacto",R87="Probabilidad"),(AA86-(+AA86*U87)),IF(R87="Impacto",#REF!,""))),"")</f>
        <v/>
      </c>
      <c r="Z87" s="173" t="str">
        <f t="shared" ref="Z87:Z88" si="150">IFERROR(IF(Y87="","",IF(Y87&lt;=0.2,"Rara vez",IF(Y87&lt;=0.4,"Improbable",IF(Y87&lt;=0.6,"Posible",IF(Y87&lt;=0.8,"Probable","Casi Seguro"))))),"")</f>
        <v/>
      </c>
      <c r="AA87" s="171" t="str">
        <f t="shared" si="147"/>
        <v/>
      </c>
      <c r="AB87" s="173" t="str">
        <f t="shared" ref="AB87:AB88" si="151">IFERROR(IF(AC87="","",IF(AC87&lt;=0.6,"Moderado",IF(AC87&lt;=0.8,"Mayor","Catastrófico"))),"")</f>
        <v/>
      </c>
      <c r="AC87" s="171" t="str">
        <f>IFERROR(IF(AND(#REF!="Impacto",R87="Impacto"),(#REF!-(+#REF!*U87)),IF(AND(#REF!="Probabilidad",R87="Impacto"),(AC86-(+AC86*U87)),IF(R87="Probabilidad",#REF!,""))),"")</f>
        <v/>
      </c>
      <c r="AD87" s="174" t="str">
        <f t="shared" ref="AD87:AD88" si="152">IFERROR(IF(OR(AND(Z87="Muy Baja",AB87="Leve"),AND(Z87="Muy Baja",AB87="Menor"),AND(Z87="Baja",AB87="Leve")),"Bajo",IF(OR(AND(Z87="Muy baja",AB87="Moderado"),AND(Z87="Baja",AB87="Menor"),AND(Z87="Baja",AB87="Moderado"),AND(Z87="Media",AB87="Leve"),AND(Z87="Media",AB87="Menor"),AND(Z87="Media",AB87="Moderado"),AND(Z87="Alta",AB87="Leve"),AND(Z87="Alta",AB87="Menor")),"Moderado",IF(OR(AND(Z87="Muy Baja",AB87="Mayor"),AND(Z87="Baja",AB87="Mayor"),AND(Z87="Media",AB87="Mayor"),AND(Z87="Alta",AB87="Moderado"),AND(Z87="Alta",AB87="Mayor"),AND(Z87="Muy Alta",AB87="Leve"),AND(Z87="Muy Alta",AB87="Menor"),AND(Z87="Muy Alta",AB87="Moderado"),AND(Z87="Muy Alta",AB87="Mayor")),"Alto",IF(OR(AND(Z87="Muy Baja",AB87="Catastrófico"),AND(Z87="Baja",AB87="Catastrófico"),AND(Z87="Media",AB87="Catastrófico"),AND(Z87="Alta",AB87="Catastrófico"),AND(Z87="Muy Alta",AB87="Catastrófico")),"Extremo","")))),"")</f>
        <v/>
      </c>
      <c r="AE87" s="179"/>
      <c r="AF87" s="192"/>
      <c r="AG87" s="193"/>
      <c r="AH87" s="176"/>
      <c r="AI87" s="176"/>
      <c r="AJ87" s="177"/>
      <c r="AK87" s="522"/>
      <c r="AL87" s="535"/>
      <c r="AM87" s="535"/>
      <c r="AN87" s="535"/>
      <c r="AO87" s="535"/>
      <c r="AP87" s="535"/>
      <c r="AQ87" s="535"/>
      <c r="AR87" s="535"/>
      <c r="AS87" s="158"/>
      <c r="AT87" s="158"/>
      <c r="AU87" s="158"/>
      <c r="AV87" s="158"/>
      <c r="AW87" s="158"/>
      <c r="AX87" s="158"/>
      <c r="AY87" s="158"/>
      <c r="AZ87" s="158"/>
      <c r="BA87" s="158"/>
      <c r="BB87" s="158"/>
      <c r="BC87" s="158"/>
      <c r="BD87" s="158"/>
      <c r="BE87" s="158"/>
      <c r="BF87" s="158"/>
      <c r="BG87" s="158"/>
      <c r="BH87" s="158"/>
      <c r="BI87" s="158"/>
      <c r="BJ87" s="158"/>
    </row>
    <row r="88" spans="2:62" x14ac:dyDescent="0.2">
      <c r="B88" s="314"/>
      <c r="C88" s="324"/>
      <c r="D88" s="317"/>
      <c r="E88" s="313"/>
      <c r="F88" s="313"/>
      <c r="G88" s="304"/>
      <c r="H88" s="305"/>
      <c r="I88" s="306"/>
      <c r="J88" s="307"/>
      <c r="K88" s="308"/>
      <c r="L88" s="307">
        <f>IF(NOT(ISERROR(MATCH(K88,_xlfn.ANCHORARRAY(G331),0))),J333&amp;"Por favor no seleccionar los criterios de impacto",K88)</f>
        <v>0</v>
      </c>
      <c r="M88" s="306"/>
      <c r="N88" s="307"/>
      <c r="O88" s="309"/>
      <c r="P88" s="168"/>
      <c r="Q88" s="127"/>
      <c r="R88" s="169" t="str">
        <f t="shared" si="149"/>
        <v/>
      </c>
      <c r="S88" s="170"/>
      <c r="T88" s="170"/>
      <c r="U88" s="171" t="str">
        <f t="shared" si="145"/>
        <v/>
      </c>
      <c r="V88" s="170"/>
      <c r="W88" s="170"/>
      <c r="X88" s="170"/>
      <c r="Y88" s="172" t="str">
        <f>IFERROR(IF(AND(R87="Probabilidad",R88="Probabilidad"),(AA87-(+AA87*U88)),IF(AND(R87="Impacto",R88="Probabilidad"),(#REF!-(+#REF!*U88)),IF(R88="Impacto",AA87,""))),"")</f>
        <v/>
      </c>
      <c r="Z88" s="173" t="str">
        <f t="shared" si="150"/>
        <v/>
      </c>
      <c r="AA88" s="171" t="str">
        <f t="shared" si="147"/>
        <v/>
      </c>
      <c r="AB88" s="173" t="str">
        <f t="shared" si="151"/>
        <v/>
      </c>
      <c r="AC88" s="171" t="str">
        <f>IFERROR(IF(AND(R87="Impacto",R88="Impacto"),(AC87-(+AC87*U88)),IF(AND(R87="Probabilidad",R88="Impacto"),(#REF!-(+#REF!*U88)),IF(R88="Probabilidad",AC87,""))),"")</f>
        <v/>
      </c>
      <c r="AD88" s="174" t="str">
        <f t="shared" si="152"/>
        <v/>
      </c>
      <c r="AE88" s="179"/>
      <c r="AF88" s="192"/>
      <c r="AG88" s="193"/>
      <c r="AH88" s="176"/>
      <c r="AI88" s="176"/>
      <c r="AJ88" s="177"/>
      <c r="AK88" s="522"/>
      <c r="AL88" s="535"/>
      <c r="AM88" s="535"/>
      <c r="AN88" s="535"/>
      <c r="AO88" s="535"/>
      <c r="AP88" s="535"/>
      <c r="AQ88" s="535"/>
      <c r="AR88" s="535"/>
      <c r="AS88" s="158"/>
      <c r="AT88" s="158"/>
      <c r="AU88" s="158"/>
      <c r="AV88" s="158"/>
      <c r="AW88" s="158"/>
      <c r="AX88" s="158"/>
      <c r="AY88" s="158"/>
      <c r="AZ88" s="158"/>
      <c r="BA88" s="158"/>
      <c r="BB88" s="158"/>
      <c r="BC88" s="158"/>
      <c r="BD88" s="158"/>
      <c r="BE88" s="158"/>
      <c r="BF88" s="158"/>
      <c r="BG88" s="158"/>
      <c r="BH88" s="158"/>
      <c r="BI88" s="158"/>
      <c r="BJ88" s="158"/>
    </row>
    <row r="89" spans="2:62" s="163" customFormat="1" ht="76.5" x14ac:dyDescent="0.25">
      <c r="B89" s="314" t="s">
        <v>249</v>
      </c>
      <c r="C89" s="324" t="s">
        <v>220</v>
      </c>
      <c r="D89" s="317" t="s">
        <v>250</v>
      </c>
      <c r="E89" s="313" t="s">
        <v>106</v>
      </c>
      <c r="F89" s="313" t="s">
        <v>251</v>
      </c>
      <c r="G89" s="304" t="s">
        <v>252</v>
      </c>
      <c r="H89" s="305" t="s">
        <v>109</v>
      </c>
      <c r="I89" s="306" t="str">
        <f>IF(H89&lt;=0,"",IF(H89="No se ha presentado en los últimos 5 años","Rara vez",IF(H89="Al menos 1 vez en los últimos 5 años","Improbable",IF(H89="Al menos 1 vez en los últimos 2 años","Posible",IF(H89="Al menos 1 vez en el último año","Probable",IF(H89="Más de 1 vez al año","Casi Seguro"))))))</f>
        <v>Rara vez</v>
      </c>
      <c r="J89" s="307">
        <f>IF(I89="","",IF(I89="Rara vez",0.2,IF(I89="Improbable",0.4,IF(I89="Posible",0.6,IF(I89="Probable",0.8,IF(I89="Casi Seguro",1,))))))</f>
        <v>0.2</v>
      </c>
      <c r="K89" s="308" t="s">
        <v>131</v>
      </c>
      <c r="L89" s="307" t="str">
        <f>IF(NOT(ISERROR(MATCH(K89,'Tabla Impacto'!$B$220:$B$222,0))),'Tabla Impacto'!$F$222&amp;"Por favor no seleccionar los criterios de impacto(Criterios para calificar el impacto)",K89)</f>
        <v xml:space="preserve">Responder afirmativamente de DOCE a DIECINUEVE </v>
      </c>
      <c r="M89" s="306" t="str">
        <f>IF(OR(L89='Tabla Impacto'!$C$5),"Moderado",IF(OR(L89='Tabla Impacto'!$C$6),"Mayor",IF(OR(L89='Tabla Impacto'!$C$7),"Catastrófico","")))</f>
        <v>Catastrófico</v>
      </c>
      <c r="N89" s="307">
        <f>IF(M89="","",IF(M89="Leve",0.2,IF(M89="Menor",0.4,IF(M89="Moderado",0.6,IF(M89="Mayor",0.8,IF(M89="Catastrófico",1,))))))</f>
        <v>1</v>
      </c>
      <c r="O89" s="309" t="str">
        <f>IF(OR(AND(I89="Rara vez",M89="Leve"),AND(I89="Rara vez",M89="Menor"),AND(I89="Improbable",M89="Leve")),"Bajo",IF(OR(AND(I89="Rara vez",M89="Moderado"),AND(I89="Improbable",M89="Menor"),AND(I89="Improbable",M89="Moderado"),AND(I89="Posible",M89="Leve"),AND(I89="Posible",M89="Menor"),AND(I89="Posible",M89="Moderado"),AND(I89="Probable",M89="Leve"),AND(I89="Probable",M89="Menor")),"Moderado",IF(OR(AND(I89="Rara vez",M89="Mayor"),AND(I89="Improbable",M89="Mayor"),AND(I89="Posible",M89="Mayor"),AND(I89="Probable",M89="Moderado"),AND(I89="Probable",M89="Mayor"),AND(I89="Casi Seguro",M89="Leve"),AND(I89="Casi Seguro",M89="Menor"),AND(I89="Casi Seguro",M89="Moderado"),AND(I89="Casi Seguro",M89="Mayor")),"Alto",IF(OR(AND(I89="Rara vez",M89="Catastrófico"),AND(I89="Improbable",M89="Catastrófico"),AND(I89="Posible",M89="Catastrófico"),AND(I89="Probable",M89="Catastrófico"),AND(I89="Casi Seguro",M89="Catastrófico")),"Extremo",""))))</f>
        <v>Extremo</v>
      </c>
      <c r="P89" s="168">
        <v>1</v>
      </c>
      <c r="Q89" s="129" t="s">
        <v>253</v>
      </c>
      <c r="R89" s="169" t="str">
        <f>IF(OR(S89="Preventivo",S89="Detectivo"),"Probabilidad",IF(S89="Correctivo","Impacto",""))</f>
        <v>Probabilidad</v>
      </c>
      <c r="S89" s="170" t="s">
        <v>112</v>
      </c>
      <c r="T89" s="170" t="s">
        <v>113</v>
      </c>
      <c r="U89" s="171" t="str">
        <f>IF(AND(S89="Preventivo",T89="Automático"),"50%",IF(AND(S89="Preventivo",T89="Manual"),"40%",IF(AND(S89="Detectivo",T89="Automático"),"40%",IF(AND(S89="Detectivo",T89="Manual"),"30%",IF(AND(S89="Correctivo",T89="Automático"),"35%",IF(AND(S89="Correctivo",T89="Manual"),"25%",""))))))</f>
        <v>40%</v>
      </c>
      <c r="V89" s="170" t="s">
        <v>119</v>
      </c>
      <c r="W89" s="170" t="s">
        <v>115</v>
      </c>
      <c r="X89" s="170" t="s">
        <v>134</v>
      </c>
      <c r="Y89" s="172">
        <f>IFERROR(IF(R89="Probabilidad",(J89-(+J89*U89)),IF(R89="Impacto",J89,"")),"")</f>
        <v>0.12</v>
      </c>
      <c r="Z89" s="173" t="str">
        <f>IFERROR(IF(Y89="","",IF(Y89&lt;=0.2,"Rara vez",IF(Y89&lt;=0.4,"Improbable",IF(Y89&lt;=0.6,"Posible",IF(Y89&lt;=0.8,"Probable","Casi Seguro"))))),"")</f>
        <v>Rara vez</v>
      </c>
      <c r="AA89" s="171">
        <f>+Y89</f>
        <v>0.12</v>
      </c>
      <c r="AB89" s="173" t="str">
        <f>IFERROR(IF(AC89="","",IF(AC89&lt;=0.6,"Moderado",IF(AC89&lt;=0.8,"Mayor","Catastrófico"))),"")</f>
        <v>Catastrófico</v>
      </c>
      <c r="AC89" s="171">
        <f>IFERROR(IF(R89="Impacto",(N89-(+N89*U89)),IF(R89="Probabilidad",N89,"")),"")</f>
        <v>1</v>
      </c>
      <c r="AD89" s="174" t="str">
        <f>IFERROR(IF(OR(AND(Z89="Rara vez",AB89="Leve"),AND(Z89="Rara vez",AB89="Menor"),AND(Z89="Improbable",AB89="Leve")),"Bajo",IF(OR(AND(Z89="Rara vez",AB89="Moderado"),AND(Z89="Improbable",AB89="Menor"),AND(Z89="Improbable",AB89="Moderado"),AND(Z89="Posible",AB89="Leve"),AND(Z89="Posible",AB89="Menor"),AND(Z89="Posible",AB89="Moderado"),AND(Z89="Probable",AB89="Leve"),AND(Z89="Probable",AB89="Menor")),"Moderado",IF(OR(AND(Z89="Rara vez",AB89="Mayor"),AND(Z89="Improbable",AB89="Mayor"),AND(Z89="Posible",AB89="Mayor"),AND(Z89="Probable",AB89="Moderado"),AND(Z89="Probable",AB89="Mayor"),AND(Z89="Casi Seguro",AB89="Leve"),AND(Z89="Casi Seguro",AB89="Menor"),AND(Z89="Casi Seguro",AB89="Moderado"),AND(Z89="Casi Seguro",AB89="Mayor")),"Alto",IF(OR(AND(Z89="Rara vez",AB89="Catastrófico"),AND(Z89="Improbable",AB89="Catastrófico"),AND(Z89="Posible",AB89="Catastrófico"),AND(Z89="Probable",AB89="Catastrófico"),AND(Z89="Casi Seguro",AB89="Catastrófico")),"Extremo","")))),"")</f>
        <v>Extremo</v>
      </c>
      <c r="AE89" s="170"/>
      <c r="AF89" s="123"/>
      <c r="AG89" s="123"/>
      <c r="AH89" s="175"/>
      <c r="AI89" s="176"/>
      <c r="AJ89" s="177"/>
      <c r="AK89" s="522"/>
      <c r="AL89" s="534"/>
      <c r="AM89" s="534"/>
      <c r="AN89" s="534"/>
      <c r="AO89" s="534"/>
      <c r="AP89" s="534"/>
      <c r="AQ89" s="534"/>
      <c r="AR89" s="534"/>
      <c r="AS89" s="178"/>
      <c r="AT89" s="178"/>
      <c r="AU89" s="178"/>
      <c r="AV89" s="178"/>
      <c r="AW89" s="178"/>
      <c r="AX89" s="178"/>
      <c r="AY89" s="178"/>
      <c r="AZ89" s="178"/>
      <c r="BA89" s="178"/>
      <c r="BB89" s="178"/>
      <c r="BC89" s="178"/>
      <c r="BD89" s="178"/>
      <c r="BE89" s="178"/>
      <c r="BF89" s="178"/>
      <c r="BG89" s="178"/>
      <c r="BH89" s="178"/>
      <c r="BI89" s="178"/>
      <c r="BJ89" s="178"/>
    </row>
    <row r="90" spans="2:62" ht="76.5" x14ac:dyDescent="0.2">
      <c r="B90" s="314"/>
      <c r="C90" s="324"/>
      <c r="D90" s="317"/>
      <c r="E90" s="313"/>
      <c r="F90" s="313"/>
      <c r="G90" s="304"/>
      <c r="H90" s="305"/>
      <c r="I90" s="306"/>
      <c r="J90" s="307"/>
      <c r="K90" s="308"/>
      <c r="L90" s="307">
        <f>IF(NOT(ISERROR(MATCH(K90,_xlfn.ANCHORARRAY(G332),0))),J334&amp;"Por favor no seleccionar los criterios de impacto",K90)</f>
        <v>0</v>
      </c>
      <c r="M90" s="306"/>
      <c r="N90" s="307"/>
      <c r="O90" s="309"/>
      <c r="P90" s="168">
        <v>2</v>
      </c>
      <c r="Q90" s="129" t="s">
        <v>254</v>
      </c>
      <c r="R90" s="169" t="str">
        <f>IF(OR(S90="Preventivo",S90="Detectivo"),"Probabilidad",IF(S90="Correctivo","Impacto",""))</f>
        <v>Probabilidad</v>
      </c>
      <c r="S90" s="170" t="s">
        <v>133</v>
      </c>
      <c r="T90" s="170" t="s">
        <v>113</v>
      </c>
      <c r="U90" s="171" t="str">
        <f t="shared" ref="U90:U93" si="153">IF(AND(S90="Preventivo",T90="Automático"),"50%",IF(AND(S90="Preventivo",T90="Manual"),"40%",IF(AND(S90="Detectivo",T90="Automático"),"40%",IF(AND(S90="Detectivo",T90="Manual"),"30%",IF(AND(S90="Correctivo",T90="Automático"),"35%",IF(AND(S90="Correctivo",T90="Manual"),"25%",""))))))</f>
        <v>30%</v>
      </c>
      <c r="V90" s="170" t="s">
        <v>119</v>
      </c>
      <c r="W90" s="170" t="s">
        <v>115</v>
      </c>
      <c r="X90" s="170" t="s">
        <v>134</v>
      </c>
      <c r="Y90" s="172">
        <f>IFERROR(IF(AND(R89="Probabilidad",R90="Probabilidad"),(AA89-(+AA89*U90)),IF(R90="Probabilidad",(J89-(+J89*U90)),IF(R90="Impacto",AA89,""))),"")</f>
        <v>8.3999999999999991E-2</v>
      </c>
      <c r="Z90" s="173" t="str">
        <f t="shared" ref="Z90:Z93" si="154">IFERROR(IF(Y90="","",IF(Y90&lt;=0.2,"Rara vez",IF(Y90&lt;=0.4,"Improbable",IF(Y90&lt;=0.6,"Posible",IF(Y90&lt;=0.8,"Probable","Casi Seguro"))))),"")</f>
        <v>Rara vez</v>
      </c>
      <c r="AA90" s="171">
        <f t="shared" ref="AA90:AA93" si="155">+Y90</f>
        <v>8.3999999999999991E-2</v>
      </c>
      <c r="AB90" s="173" t="str">
        <f t="shared" ref="AB90:AB93" si="156">IFERROR(IF(AC90="","",IF(AC90&lt;=0.6,"Moderado",IF(AC90&lt;=0.8,"Mayor","Catastrófico"))),"")</f>
        <v>Catastrófico</v>
      </c>
      <c r="AC90" s="171">
        <f>IFERROR(IF(AND(R89="Impacto",R90="Impacto"),(AC89-(+AC89*U90)),IF(R90="Impacto",(N89-(+N89*U90)),IF(R90="Probabilidad",AC89,""))),"")</f>
        <v>1</v>
      </c>
      <c r="AD90" s="174" t="str">
        <f>IFERROR(IF(OR(AND(Z90="Rara vez",AB90="Leve"),AND(Z90="Rara vez",AB90="Menor"),AND(Z90="Improbable",AB90="Leve")),"Bajo",IF(OR(AND(Z90="Rara vez",AB90="Moderado"),AND(Z90="Improbable",AB90="Menor"),AND(Z90="Improbable",AB90="Moderado"),AND(Z90="Posible",AB90="Leve"),AND(Z90="Posible",AB90="Menor"),AND(Z90="Posible",AB90="Moderado"),AND(Z90="Probable",AB90="Leve"),AND(Z90="Probable",AB90="Menor")),"Moderado",IF(OR(AND(Z90="Rara vez",AB90="Mayor"),AND(Z90="Improbable",AB90="Mayor"),AND(Z90="Posible",AB90="Mayor"),AND(Z90="Probable",AB90="Moderado"),AND(Z90="Probable",AB90="Mayor"),AND(Z90="Casi Seguro",AB90="Leve"),AND(Z90="Casi Seguro",AB90="Menor"),AND(Z90="Casi Seguro",AB90="Moderado"),AND(Z90="Casi Seguro",AB90="Mayor")),"Alto",IF(OR(AND(Z90="Rara vez",AB90="Catastrófico"),AND(Z90="Improbable",AB90="Catastrófico"),AND(Z90="Posible",AB90="Catastrófico"),AND(Z90="Probable",AB90="Catastrófico"),AND(Z90="Casi Seguro",AB90="Catastrófico")),"Extremo","")))),"")</f>
        <v>Extremo</v>
      </c>
      <c r="AE90" s="170" t="s">
        <v>120</v>
      </c>
      <c r="AF90" s="132"/>
      <c r="AG90" s="194"/>
      <c r="AH90" s="195"/>
      <c r="AI90" s="176"/>
      <c r="AJ90" s="181"/>
      <c r="AK90" s="522"/>
      <c r="AL90" s="535"/>
      <c r="AM90" s="535"/>
      <c r="AN90" s="535"/>
      <c r="AO90" s="535"/>
      <c r="AP90" s="535"/>
      <c r="AQ90" s="535"/>
      <c r="AR90" s="535"/>
      <c r="AS90" s="158"/>
      <c r="AT90" s="158"/>
      <c r="AU90" s="158"/>
      <c r="AV90" s="158"/>
      <c r="AW90" s="158"/>
      <c r="AX90" s="158"/>
      <c r="AY90" s="158"/>
      <c r="AZ90" s="158"/>
      <c r="BA90" s="158"/>
      <c r="BB90" s="158"/>
      <c r="BC90" s="158"/>
      <c r="BD90" s="158"/>
      <c r="BE90" s="158"/>
      <c r="BF90" s="158"/>
      <c r="BG90" s="158"/>
      <c r="BH90" s="158"/>
      <c r="BI90" s="158"/>
      <c r="BJ90" s="158"/>
    </row>
    <row r="91" spans="2:62" x14ac:dyDescent="0.2">
      <c r="B91" s="314"/>
      <c r="C91" s="324"/>
      <c r="D91" s="317"/>
      <c r="E91" s="313"/>
      <c r="F91" s="313"/>
      <c r="G91" s="304"/>
      <c r="H91" s="305"/>
      <c r="I91" s="306"/>
      <c r="J91" s="307"/>
      <c r="K91" s="308"/>
      <c r="L91" s="307">
        <f>IF(NOT(ISERROR(MATCH(K91,_xlfn.ANCHORARRAY(G333),0))),J335&amp;"Por favor no seleccionar los criterios de impacto",K91)</f>
        <v>0</v>
      </c>
      <c r="M91" s="306"/>
      <c r="N91" s="307"/>
      <c r="O91" s="309"/>
      <c r="P91" s="168"/>
      <c r="Q91" s="129"/>
      <c r="R91" s="169"/>
      <c r="S91" s="182"/>
      <c r="T91" s="170"/>
      <c r="U91" s="171"/>
      <c r="V91" s="170"/>
      <c r="W91" s="170"/>
      <c r="X91" s="170"/>
      <c r="Y91" s="172"/>
      <c r="Z91" s="173"/>
      <c r="AA91" s="171"/>
      <c r="AB91" s="173"/>
      <c r="AC91" s="171"/>
      <c r="AD91" s="174"/>
      <c r="AE91" s="196"/>
      <c r="AF91" s="184"/>
      <c r="AG91" s="184"/>
      <c r="AH91" s="186"/>
      <c r="AI91" s="187"/>
      <c r="AJ91" s="188"/>
      <c r="AK91" s="523"/>
      <c r="AL91" s="535"/>
      <c r="AM91" s="535"/>
      <c r="AN91" s="535"/>
      <c r="AO91" s="535"/>
      <c r="AP91" s="535"/>
      <c r="AQ91" s="535"/>
      <c r="AR91" s="535"/>
      <c r="AS91" s="158"/>
      <c r="AT91" s="158"/>
      <c r="AU91" s="158"/>
      <c r="AV91" s="158"/>
      <c r="AW91" s="158"/>
      <c r="AX91" s="158"/>
      <c r="AY91" s="158"/>
      <c r="AZ91" s="158"/>
      <c r="BA91" s="158"/>
      <c r="BB91" s="158"/>
      <c r="BC91" s="158"/>
      <c r="BD91" s="158"/>
      <c r="BE91" s="158"/>
      <c r="BF91" s="158"/>
      <c r="BG91" s="158"/>
      <c r="BH91" s="158"/>
      <c r="BI91" s="158"/>
      <c r="BJ91" s="158"/>
    </row>
    <row r="92" spans="2:62" x14ac:dyDescent="0.2">
      <c r="B92" s="314"/>
      <c r="C92" s="324"/>
      <c r="D92" s="317"/>
      <c r="E92" s="313"/>
      <c r="F92" s="313"/>
      <c r="G92" s="304"/>
      <c r="H92" s="305"/>
      <c r="I92" s="306"/>
      <c r="J92" s="307"/>
      <c r="K92" s="308"/>
      <c r="L92" s="307">
        <f>IF(NOT(ISERROR(MATCH(K92,_xlfn.ANCHORARRAY(G335),0))),J337&amp;"Por favor no seleccionar los criterios de impacto",K92)</f>
        <v>0</v>
      </c>
      <c r="M92" s="306"/>
      <c r="N92" s="307"/>
      <c r="O92" s="309"/>
      <c r="P92" s="168"/>
      <c r="R92" s="169" t="str">
        <f t="shared" ref="R92:R93" si="157">IF(OR(S92="Preventivo",S92="Detectivo"),"Probabilidad",IF(S92="Correctivo","Impacto",""))</f>
        <v/>
      </c>
      <c r="S92" s="170"/>
      <c r="T92" s="170"/>
      <c r="U92" s="171" t="str">
        <f t="shared" si="153"/>
        <v/>
      </c>
      <c r="V92" s="170"/>
      <c r="W92" s="170"/>
      <c r="X92" s="170"/>
      <c r="Y92" s="172" t="str">
        <f>IFERROR(IF(AND(#REF!="Probabilidad",R92="Probabilidad"),(#REF!-(+#REF!*U92)),IF(AND(#REF!="Impacto",R92="Probabilidad"),(AA91-(+AA91*U92)),IF(R92="Impacto",#REF!,""))),"")</f>
        <v/>
      </c>
      <c r="Z92" s="173" t="str">
        <f t="shared" si="154"/>
        <v/>
      </c>
      <c r="AA92" s="171" t="str">
        <f t="shared" si="155"/>
        <v/>
      </c>
      <c r="AB92" s="173" t="str">
        <f t="shared" si="156"/>
        <v/>
      </c>
      <c r="AC92" s="171" t="str">
        <f>IFERROR(IF(AND(#REF!="Impacto",R92="Impacto"),(#REF!-(+#REF!*U92)),IF(AND(#REF!="Probabilidad",R92="Impacto"),(AC91-(+AC91*U92)),IF(R92="Probabilidad",#REF!,""))),"")</f>
        <v/>
      </c>
      <c r="AD92" s="174" t="str">
        <f t="shared" ref="AD92:AD93" si="158">IFERROR(IF(OR(AND(Z92="Muy Baja",AB92="Leve"),AND(Z92="Muy Baja",AB92="Menor"),AND(Z92="Baja",AB92="Leve")),"Bajo",IF(OR(AND(Z92="Muy baja",AB92="Moderado"),AND(Z92="Baja",AB92="Menor"),AND(Z92="Baja",AB92="Moderado"),AND(Z92="Media",AB92="Leve"),AND(Z92="Media",AB92="Menor"),AND(Z92="Media",AB92="Moderado"),AND(Z92="Alta",AB92="Leve"),AND(Z92="Alta",AB92="Menor")),"Moderado",IF(OR(AND(Z92="Muy Baja",AB92="Mayor"),AND(Z92="Baja",AB92="Mayor"),AND(Z92="Media",AB92="Mayor"),AND(Z92="Alta",AB92="Moderado"),AND(Z92="Alta",AB92="Mayor"),AND(Z92="Muy Alta",AB92="Leve"),AND(Z92="Muy Alta",AB92="Menor"),AND(Z92="Muy Alta",AB92="Moderado"),AND(Z92="Muy Alta",AB92="Mayor")),"Alto",IF(OR(AND(Z92="Muy Baja",AB92="Catastrófico"),AND(Z92="Baja",AB92="Catastrófico"),AND(Z92="Media",AB92="Catastrófico"),AND(Z92="Alta",AB92="Catastrófico"),AND(Z92="Muy Alta",AB92="Catastrófico")),"Extremo","")))),"")</f>
        <v/>
      </c>
      <c r="AE92" s="179"/>
      <c r="AF92" s="192"/>
      <c r="AG92" s="193"/>
      <c r="AH92" s="176"/>
      <c r="AI92" s="176"/>
      <c r="AJ92" s="177"/>
      <c r="AK92" s="522"/>
      <c r="AL92" s="535"/>
      <c r="AM92" s="535"/>
      <c r="AN92" s="535"/>
      <c r="AO92" s="535"/>
      <c r="AP92" s="535"/>
      <c r="AQ92" s="535"/>
      <c r="AR92" s="535"/>
      <c r="AS92" s="158"/>
      <c r="AT92" s="158"/>
      <c r="AU92" s="158"/>
      <c r="AV92" s="158"/>
      <c r="AW92" s="158"/>
      <c r="AX92" s="158"/>
      <c r="AY92" s="158"/>
      <c r="AZ92" s="158"/>
      <c r="BA92" s="158"/>
      <c r="BB92" s="158"/>
      <c r="BC92" s="158"/>
      <c r="BD92" s="158"/>
      <c r="BE92" s="158"/>
      <c r="BF92" s="158"/>
      <c r="BG92" s="158"/>
      <c r="BH92" s="158"/>
      <c r="BI92" s="158"/>
      <c r="BJ92" s="158"/>
    </row>
    <row r="93" spans="2:62" x14ac:dyDescent="0.2">
      <c r="B93" s="314"/>
      <c r="C93" s="324"/>
      <c r="D93" s="317"/>
      <c r="E93" s="313"/>
      <c r="F93" s="313"/>
      <c r="G93" s="304"/>
      <c r="H93" s="305"/>
      <c r="I93" s="306"/>
      <c r="J93" s="307"/>
      <c r="K93" s="308"/>
      <c r="L93" s="307">
        <f>IF(NOT(ISERROR(MATCH(K93,_xlfn.ANCHORARRAY(G336),0))),J338&amp;"Por favor no seleccionar los criterios de impacto",K93)</f>
        <v>0</v>
      </c>
      <c r="M93" s="306"/>
      <c r="N93" s="307"/>
      <c r="O93" s="309"/>
      <c r="P93" s="168"/>
      <c r="Q93" s="127"/>
      <c r="R93" s="169" t="str">
        <f t="shared" si="157"/>
        <v/>
      </c>
      <c r="S93" s="170"/>
      <c r="T93" s="170"/>
      <c r="U93" s="171" t="str">
        <f t="shared" si="153"/>
        <v/>
      </c>
      <c r="V93" s="170"/>
      <c r="W93" s="170"/>
      <c r="X93" s="170"/>
      <c r="Y93" s="172" t="str">
        <f>IFERROR(IF(AND(R92="Probabilidad",R93="Probabilidad"),(AA92-(+AA92*U93)),IF(AND(R92="Impacto",R93="Probabilidad"),(#REF!-(+#REF!*U93)),IF(R93="Impacto",AA92,""))),"")</f>
        <v/>
      </c>
      <c r="Z93" s="173" t="str">
        <f t="shared" si="154"/>
        <v/>
      </c>
      <c r="AA93" s="171" t="str">
        <f t="shared" si="155"/>
        <v/>
      </c>
      <c r="AB93" s="173" t="str">
        <f t="shared" si="156"/>
        <v/>
      </c>
      <c r="AC93" s="171" t="str">
        <f>IFERROR(IF(AND(R92="Impacto",R93="Impacto"),(AC92-(+AC92*U93)),IF(AND(R92="Probabilidad",R93="Impacto"),(#REF!-(+#REF!*U93)),IF(R93="Probabilidad",AC92,""))),"")</f>
        <v/>
      </c>
      <c r="AD93" s="174" t="str">
        <f t="shared" si="158"/>
        <v/>
      </c>
      <c r="AE93" s="179"/>
      <c r="AF93" s="192"/>
      <c r="AG93" s="193"/>
      <c r="AH93" s="176"/>
      <c r="AI93" s="176"/>
      <c r="AJ93" s="177"/>
      <c r="AK93" s="522"/>
      <c r="AL93" s="535"/>
      <c r="AM93" s="535"/>
      <c r="AN93" s="535"/>
      <c r="AO93" s="535"/>
      <c r="AP93" s="535"/>
      <c r="AQ93" s="535"/>
      <c r="AR93" s="535"/>
      <c r="AS93" s="158"/>
      <c r="AT93" s="158"/>
      <c r="AU93" s="158"/>
      <c r="AV93" s="158"/>
      <c r="AW93" s="158"/>
      <c r="AX93" s="158"/>
      <c r="AY93" s="158"/>
      <c r="AZ93" s="158"/>
      <c r="BA93" s="158"/>
      <c r="BB93" s="158"/>
      <c r="BC93" s="158"/>
      <c r="BD93" s="158"/>
      <c r="BE93" s="158"/>
      <c r="BF93" s="158"/>
      <c r="BG93" s="158"/>
      <c r="BH93" s="158"/>
      <c r="BI93" s="158"/>
      <c r="BJ93" s="158"/>
    </row>
    <row r="94" spans="2:62" s="163" customFormat="1" ht="105" customHeight="1" x14ac:dyDescent="0.25">
      <c r="B94" s="314" t="s">
        <v>255</v>
      </c>
      <c r="C94" s="324" t="s">
        <v>256</v>
      </c>
      <c r="D94" s="317" t="s">
        <v>257</v>
      </c>
      <c r="E94" s="313" t="s">
        <v>127</v>
      </c>
      <c r="F94" s="313" t="s">
        <v>258</v>
      </c>
      <c r="G94" s="304" t="s">
        <v>259</v>
      </c>
      <c r="H94" s="305" t="s">
        <v>109</v>
      </c>
      <c r="I94" s="306" t="str">
        <f>IF(H94&lt;=0,"",IF(H94="No se ha presentado en los últimos 5 años","Rara vez",IF(H94="Al menos 1 vez en los últimos 5 años","Improbable",IF(H94="Al menos 1 vez en los últimos 2 años","Posible",IF(H94="Al menos 1 vez en el último año","Probable",IF(H94="Más de 1 vez al año","Casi Seguro"))))))</f>
        <v>Rara vez</v>
      </c>
      <c r="J94" s="307">
        <f>IF(I94="","",IF(I94="Rara vez",0.2,IF(I94="Improbable",0.4,IF(I94="Posible",0.6,IF(I94="Probable",0.8,IF(I94="Casi Seguro",1,))))))</f>
        <v>0.2</v>
      </c>
      <c r="K94" s="308" t="s">
        <v>131</v>
      </c>
      <c r="L94" s="307" t="str">
        <f>IF(NOT(ISERROR(MATCH(K94,'Tabla Impacto'!$B$220:$B$222,0))),'Tabla Impacto'!$F$222&amp;"Por favor no seleccionar los criterios de impacto(Criterios para calificar el impacto)",K94)</f>
        <v xml:space="preserve">Responder afirmativamente de DOCE a DIECINUEVE </v>
      </c>
      <c r="M94" s="306" t="str">
        <f>IF(OR(L94='Tabla Impacto'!$C$5),"Moderado",IF(OR(L94='Tabla Impacto'!$C$6),"Mayor",IF(OR(L94='Tabla Impacto'!$C$7),"Catastrófico","")))</f>
        <v>Catastrófico</v>
      </c>
      <c r="N94" s="307">
        <f>IF(M94="","",IF(M94="Leve",0.2,IF(M94="Menor",0.4,IF(M94="Moderado",0.6,IF(M94="Mayor",0.8,IF(M94="Catastrófico",1,))))))</f>
        <v>1</v>
      </c>
      <c r="O94" s="309" t="str">
        <f>IF(OR(AND(I94="Rara vez",M94="Leve"),AND(I94="Rara vez",M94="Menor"),AND(I94="Improbable",M94="Leve")),"Bajo",IF(OR(AND(I94="Rara vez",M94="Moderado"),AND(I94="Improbable",M94="Menor"),AND(I94="Improbable",M94="Moderado"),AND(I94="Posible",M94="Leve"),AND(I94="Posible",M94="Menor"),AND(I94="Posible",M94="Moderado"),AND(I94="Probable",M94="Leve"),AND(I94="Probable",M94="Menor")),"Moderado",IF(OR(AND(I94="Rara vez",M94="Mayor"),AND(I94="Improbable",M94="Mayor"),AND(I94="Posible",M94="Mayor"),AND(I94="Probable",M94="Moderado"),AND(I94="Probable",M94="Mayor"),AND(I94="Casi Seguro",M94="Leve"),AND(I94="Casi Seguro",M94="Menor"),AND(I94="Casi Seguro",M94="Moderado"),AND(I94="Casi Seguro",M94="Mayor")),"Alto",IF(OR(AND(I94="Rara vez",M94="Catastrófico"),AND(I94="Improbable",M94="Catastrófico"),AND(I94="Posible",M94="Catastrófico"),AND(I94="Probable",M94="Catastrófico"),AND(I94="Casi Seguro",M94="Catastrófico")),"Extremo",""))))</f>
        <v>Extremo</v>
      </c>
      <c r="P94" s="168">
        <v>1</v>
      </c>
      <c r="Q94" s="129" t="s">
        <v>260</v>
      </c>
      <c r="R94" s="169" t="str">
        <f>IF(OR(S94="Preventivo",S94="Detectivo"),"Probabilidad",IF(S94="Correctivo","Impacto",""))</f>
        <v>Probabilidad</v>
      </c>
      <c r="S94" s="170" t="s">
        <v>112</v>
      </c>
      <c r="T94" s="170" t="s">
        <v>113</v>
      </c>
      <c r="U94" s="171" t="str">
        <f>IF(AND(S94="Preventivo",T94="Automático"),"50%",IF(AND(S94="Preventivo",T94="Manual"),"40%",IF(AND(S94="Detectivo",T94="Automático"),"40%",IF(AND(S94="Detectivo",T94="Manual"),"30%",IF(AND(S94="Correctivo",T94="Automático"),"35%",IF(AND(S94="Correctivo",T94="Manual"),"25%",""))))))</f>
        <v>40%</v>
      </c>
      <c r="V94" s="170" t="s">
        <v>119</v>
      </c>
      <c r="W94" s="170" t="s">
        <v>115</v>
      </c>
      <c r="X94" s="170" t="s">
        <v>116</v>
      </c>
      <c r="Y94" s="172">
        <f>IFERROR(IF(R94="Probabilidad",(J94-(+J94*U94)),IF(R94="Impacto",J94,"")),"")</f>
        <v>0.12</v>
      </c>
      <c r="Z94" s="173" t="str">
        <f>IFERROR(IF(Y94="","",IF(Y94&lt;=0.2,"Rara vez",IF(Y94&lt;=0.4,"Improbable",IF(Y94&lt;=0.6,"Posible",IF(Y94&lt;=0.8,"Probable","Casi Seguro"))))),"")</f>
        <v>Rara vez</v>
      </c>
      <c r="AA94" s="171">
        <f>+Y94</f>
        <v>0.12</v>
      </c>
      <c r="AB94" s="173" t="str">
        <f>IFERROR(IF(AC94="","",IF(AC94&lt;=0.6,"Moderado",IF(AC94&lt;=0.8,"Mayor","Catastrófico"))),"")</f>
        <v>Catastrófico</v>
      </c>
      <c r="AC94" s="171">
        <f>IFERROR(IF(R94="Impacto",(N94-(+N94*U94)),IF(R94="Probabilidad",N94,"")),"")</f>
        <v>1</v>
      </c>
      <c r="AD94" s="174" t="str">
        <f>IFERROR(IF(OR(AND(Z94="Rara vez",AB94="Leve"),AND(Z94="Rara vez",AB94="Menor"),AND(Z94="Improbable",AB94="Leve")),"Bajo",IF(OR(AND(Z94="Rara vez",AB94="Moderado"),AND(Z94="Improbable",AB94="Menor"),AND(Z94="Improbable",AB94="Moderado"),AND(Z94="Posible",AB94="Leve"),AND(Z94="Posible",AB94="Menor"),AND(Z94="Posible",AB94="Moderado"),AND(Z94="Probable",AB94="Leve"),AND(Z94="Probable",AB94="Menor")),"Moderado",IF(OR(AND(Z94="Rara vez",AB94="Mayor"),AND(Z94="Improbable",AB94="Mayor"),AND(Z94="Posible",AB94="Mayor"),AND(Z94="Probable",AB94="Moderado"),AND(Z94="Probable",AB94="Mayor"),AND(Z94="Casi Seguro",AB94="Leve"),AND(Z94="Casi Seguro",AB94="Menor"),AND(Z94="Casi Seguro",AB94="Moderado"),AND(Z94="Casi Seguro",AB94="Mayor")),"Alto",IF(OR(AND(Z94="Rara vez",AB94="Catastrófico"),AND(Z94="Improbable",AB94="Catastrófico"),AND(Z94="Posible",AB94="Catastrófico"),AND(Z94="Probable",AB94="Catastrófico"),AND(Z94="Casi Seguro",AB94="Catastrófico")),"Extremo","")))),"")</f>
        <v>Extremo</v>
      </c>
      <c r="AE94" s="170"/>
      <c r="AF94" s="123"/>
      <c r="AG94" s="123"/>
      <c r="AH94" s="175"/>
      <c r="AI94" s="176"/>
      <c r="AJ94" s="177"/>
      <c r="AK94" s="522"/>
      <c r="AL94" s="534"/>
      <c r="AM94" s="534"/>
      <c r="AN94" s="534"/>
      <c r="AO94" s="534"/>
      <c r="AP94" s="534"/>
      <c r="AQ94" s="534"/>
      <c r="AR94" s="534"/>
      <c r="AS94" s="178"/>
      <c r="AT94" s="178"/>
      <c r="AU94" s="178"/>
      <c r="AV94" s="178"/>
      <c r="AW94" s="178"/>
      <c r="AX94" s="178"/>
      <c r="AY94" s="178"/>
      <c r="AZ94" s="178"/>
      <c r="BA94" s="178"/>
      <c r="BB94" s="178"/>
      <c r="BC94" s="178"/>
      <c r="BD94" s="178"/>
      <c r="BE94" s="178"/>
      <c r="BF94" s="178"/>
      <c r="BG94" s="178"/>
      <c r="BH94" s="178"/>
      <c r="BI94" s="178"/>
      <c r="BJ94" s="178"/>
    </row>
    <row r="95" spans="2:62" ht="84" customHeight="1" x14ac:dyDescent="0.2">
      <c r="B95" s="314"/>
      <c r="C95" s="324"/>
      <c r="D95" s="317"/>
      <c r="E95" s="313"/>
      <c r="F95" s="313"/>
      <c r="G95" s="304"/>
      <c r="H95" s="305"/>
      <c r="I95" s="306"/>
      <c r="J95" s="307"/>
      <c r="K95" s="308"/>
      <c r="L95" s="307">
        <f>IF(NOT(ISERROR(MATCH(K95,_xlfn.ANCHORARRAY(G337),0))),J339&amp;"Por favor no seleccionar los criterios de impacto",K95)</f>
        <v>0</v>
      </c>
      <c r="M95" s="306"/>
      <c r="N95" s="307"/>
      <c r="O95" s="309"/>
      <c r="P95" s="168">
        <v>2</v>
      </c>
      <c r="Q95" s="129" t="s">
        <v>261</v>
      </c>
      <c r="R95" s="169" t="str">
        <f>IF(OR(S95="Preventivo",S95="Detectivo"),"Probabilidad",IF(S95="Correctivo","Impacto",""))</f>
        <v>Probabilidad</v>
      </c>
      <c r="S95" s="170" t="s">
        <v>133</v>
      </c>
      <c r="T95" s="170" t="s">
        <v>113</v>
      </c>
      <c r="U95" s="171" t="str">
        <f t="shared" ref="U95:U98" si="159">IF(AND(S95="Preventivo",T95="Automático"),"50%",IF(AND(S95="Preventivo",T95="Manual"),"40%",IF(AND(S95="Detectivo",T95="Automático"),"40%",IF(AND(S95="Detectivo",T95="Manual"),"30%",IF(AND(S95="Correctivo",T95="Automático"),"35%",IF(AND(S95="Correctivo",T95="Manual"),"25%",""))))))</f>
        <v>30%</v>
      </c>
      <c r="V95" s="170" t="s">
        <v>119</v>
      </c>
      <c r="W95" s="170" t="s">
        <v>115</v>
      </c>
      <c r="X95" s="170" t="s">
        <v>134</v>
      </c>
      <c r="Y95" s="172">
        <f>IFERROR(IF(AND(R94="Probabilidad",R95="Probabilidad"),(AA94-(+AA94*U95)),IF(R95="Probabilidad",(J94-(+J94*U95)),IF(R95="Impacto",AA94,""))),"")</f>
        <v>8.3999999999999991E-2</v>
      </c>
      <c r="Z95" s="173" t="str">
        <f t="shared" ref="Z95:Z98" si="160">IFERROR(IF(Y95="","",IF(Y95&lt;=0.2,"Rara vez",IF(Y95&lt;=0.4,"Improbable",IF(Y95&lt;=0.6,"Posible",IF(Y95&lt;=0.8,"Probable","Casi Seguro"))))),"")</f>
        <v>Rara vez</v>
      </c>
      <c r="AA95" s="171">
        <f t="shared" ref="AA95:AA98" si="161">+Y95</f>
        <v>8.3999999999999991E-2</v>
      </c>
      <c r="AB95" s="173" t="str">
        <f t="shared" ref="AB95:AB98" si="162">IFERROR(IF(AC95="","",IF(AC95&lt;=0.6,"Moderado",IF(AC95&lt;=0.8,"Mayor","Catastrófico"))),"")</f>
        <v>Catastrófico</v>
      </c>
      <c r="AC95" s="171">
        <f>IFERROR(IF(AND(R94="Impacto",R95="Impacto"),(AC94-(+AC94*U95)),IF(R95="Impacto",(N94-(+N94*U95)),IF(R95="Probabilidad",AC94,""))),"")</f>
        <v>1</v>
      </c>
      <c r="AD95" s="174" t="str">
        <f>IFERROR(IF(OR(AND(Z95="Rara vez",AB95="Leve"),AND(Z95="Rara vez",AB95="Menor"),AND(Z95="Improbable",AB95="Leve")),"Bajo",IF(OR(AND(Z95="Rara vez",AB95="Moderado"),AND(Z95="Improbable",AB95="Menor"),AND(Z95="Improbable",AB95="Moderado"),AND(Z95="Posible",AB95="Leve"),AND(Z95="Posible",AB95="Menor"),AND(Z95="Posible",AB95="Moderado"),AND(Z95="Probable",AB95="Leve"),AND(Z95="Probable",AB95="Menor")),"Moderado",IF(OR(AND(Z95="Rara vez",AB95="Mayor"),AND(Z95="Improbable",AB95="Mayor"),AND(Z95="Posible",AB95="Mayor"),AND(Z95="Probable",AB95="Moderado"),AND(Z95="Probable",AB95="Mayor"),AND(Z95="Casi Seguro",AB95="Leve"),AND(Z95="Casi Seguro",AB95="Menor"),AND(Z95="Casi Seguro",AB95="Moderado"),AND(Z95="Casi Seguro",AB95="Mayor")),"Alto",IF(OR(AND(Z95="Rara vez",AB95="Catastrófico"),AND(Z95="Improbable",AB95="Catastrófico"),AND(Z95="Posible",AB95="Catastrófico"),AND(Z95="Probable",AB95="Catastrófico"),AND(Z95="Casi Seguro",AB95="Catastrófico")),"Extremo","")))),"")</f>
        <v>Extremo</v>
      </c>
      <c r="AE95" s="170"/>
      <c r="AF95" s="132"/>
      <c r="AG95" s="194"/>
      <c r="AH95" s="195"/>
      <c r="AI95" s="176"/>
      <c r="AJ95" s="181"/>
      <c r="AK95" s="522"/>
      <c r="AL95" s="535"/>
      <c r="AM95" s="535"/>
      <c r="AN95" s="535"/>
      <c r="AO95" s="535"/>
      <c r="AP95" s="535"/>
      <c r="AQ95" s="535"/>
      <c r="AR95" s="535"/>
      <c r="AS95" s="158"/>
      <c r="AT95" s="158"/>
      <c r="AU95" s="158"/>
      <c r="AV95" s="158"/>
      <c r="AW95" s="158"/>
      <c r="AX95" s="158"/>
      <c r="AY95" s="158"/>
      <c r="AZ95" s="158"/>
      <c r="BA95" s="158"/>
      <c r="BB95" s="158"/>
      <c r="BC95" s="158"/>
      <c r="BD95" s="158"/>
      <c r="BE95" s="158"/>
      <c r="BF95" s="158"/>
      <c r="BG95" s="158"/>
      <c r="BH95" s="158"/>
      <c r="BI95" s="158"/>
      <c r="BJ95" s="158"/>
    </row>
    <row r="96" spans="2:62" ht="96.75" customHeight="1" x14ac:dyDescent="0.2">
      <c r="B96" s="314"/>
      <c r="C96" s="324"/>
      <c r="D96" s="317"/>
      <c r="E96" s="313"/>
      <c r="F96" s="313"/>
      <c r="G96" s="304"/>
      <c r="H96" s="305"/>
      <c r="I96" s="306"/>
      <c r="J96" s="307"/>
      <c r="K96" s="308"/>
      <c r="L96" s="307">
        <f>IF(NOT(ISERROR(MATCH(K96,_xlfn.ANCHORARRAY(G338),0))),J340&amp;"Por favor no seleccionar los criterios de impacto",K96)</f>
        <v>0</v>
      </c>
      <c r="M96" s="306"/>
      <c r="N96" s="307"/>
      <c r="O96" s="309"/>
      <c r="P96" s="168">
        <v>3</v>
      </c>
      <c r="Q96" s="129" t="s">
        <v>262</v>
      </c>
      <c r="R96" s="169" t="s">
        <v>136</v>
      </c>
      <c r="S96" s="182" t="s">
        <v>137</v>
      </c>
      <c r="T96" s="170" t="s">
        <v>113</v>
      </c>
      <c r="U96" s="171" t="str">
        <f t="shared" si="159"/>
        <v>25%</v>
      </c>
      <c r="V96" s="170" t="s">
        <v>119</v>
      </c>
      <c r="W96" s="170" t="s">
        <v>115</v>
      </c>
      <c r="X96" s="170" t="s">
        <v>134</v>
      </c>
      <c r="Y96" s="172">
        <f>IFERROR(IF(AND(R95="Probabilidad",R96="Probabilidad"),(AA95-(+AA95*U96)),IF(AND(R95="Impacto",R96="Probabilidad"),(AA94-(+AA94*U96)),IF(R96="Impacto",AA95,""))),"")</f>
        <v>8.3999999999999991E-2</v>
      </c>
      <c r="Z96" s="173" t="str">
        <f t="shared" si="160"/>
        <v>Rara vez</v>
      </c>
      <c r="AA96" s="171">
        <f t="shared" si="161"/>
        <v>8.3999999999999991E-2</v>
      </c>
      <c r="AB96" s="173" t="str">
        <f t="shared" si="162"/>
        <v>Mayor</v>
      </c>
      <c r="AC96" s="171">
        <f>IFERROR(IF(AND(R95="Impacto",R96="Impacto"),(AC95-(+AC95*U96)),IF(AND(R95="Probabilidad",R96="Impacto"),(AC94-(+AC94*U96)),IF(R96="Probabilidad",AC95,""))),"")</f>
        <v>0.75</v>
      </c>
      <c r="AD96" s="174" t="str">
        <f>IFERROR(IF(OR(AND(Z96="Rara vez",AB96="Leve"),AND(Z96="Rara vez",AB96="Menor"),AND(Z96="Improbable",AB96="Leve")),"Bajo",IF(OR(AND(Z96="Rara vez",AB96="Moderado"),AND(Z96="Improbable",AB96="Menor"),AND(Z96="Improbable",AB96="Moderado"),AND(Z96="Posible",AB96="Leve"),AND(Z96="Posible",AB96="Menor"),AND(Z96="Posible",AB96="Moderado"),AND(Z96="Probable",AB96="Leve"),AND(Z96="Probable",AB96="Menor")),"Moderado",IF(OR(AND(Z96="Rara vez",AB96="Mayor"),AND(Z96="Improbable",AB96="Mayor"),AND(Z96="Posible",AB96="Mayor"),AND(Z96="Probable",AB96="Moderado"),AND(Z96="Probable",AB96="Mayor"),AND(Z96="Casi Seguro",AB96="Leve"),AND(Z96="Casi Seguro",AB96="Menor"),AND(Z96="Casi Seguro",AB96="Moderado"),AND(Z96="Casi Seguro",AB96="Mayor")),"Alto",IF(OR(AND(Z96="Rara vez",AB96="Catastrófico"),AND(Z96="Improbable",AB96="Catastrófico"),AND(Z96="Posible",AB96="Catastrófico"),AND(Z96="Probable",AB96="Catastrófico"),AND(Z96="Casi Seguro",AB96="Catastrófico")),"Extremo","")))),"")</f>
        <v>Alto</v>
      </c>
      <c r="AE96" s="196" t="s">
        <v>120</v>
      </c>
      <c r="AF96" s="136" t="s">
        <v>263</v>
      </c>
      <c r="AG96" s="136" t="s">
        <v>264</v>
      </c>
      <c r="AH96" s="202">
        <v>46022</v>
      </c>
      <c r="AI96" s="187"/>
      <c r="AJ96" s="188"/>
      <c r="AK96" s="523" t="s">
        <v>123</v>
      </c>
      <c r="AL96" s="535"/>
      <c r="AM96" s="535"/>
      <c r="AN96" s="535"/>
      <c r="AO96" s="535"/>
      <c r="AP96" s="535"/>
      <c r="AQ96" s="535"/>
      <c r="AR96" s="535"/>
      <c r="AS96" s="158"/>
      <c r="AT96" s="158"/>
      <c r="AU96" s="158"/>
      <c r="AV96" s="158"/>
      <c r="AW96" s="158"/>
      <c r="AX96" s="158"/>
      <c r="AY96" s="158"/>
      <c r="AZ96" s="158"/>
      <c r="BA96" s="158"/>
      <c r="BB96" s="158"/>
      <c r="BC96" s="158"/>
      <c r="BD96" s="158"/>
      <c r="BE96" s="158"/>
      <c r="BF96" s="158"/>
      <c r="BG96" s="158"/>
      <c r="BH96" s="158"/>
      <c r="BI96" s="158"/>
      <c r="BJ96" s="158"/>
    </row>
    <row r="97" spans="2:62" x14ac:dyDescent="0.2">
      <c r="B97" s="314"/>
      <c r="C97" s="324"/>
      <c r="D97" s="317"/>
      <c r="E97" s="313"/>
      <c r="F97" s="313"/>
      <c r="G97" s="304"/>
      <c r="H97" s="305"/>
      <c r="I97" s="306"/>
      <c r="J97" s="307"/>
      <c r="K97" s="308"/>
      <c r="L97" s="307">
        <f>IF(NOT(ISERROR(MATCH(K97,_xlfn.ANCHORARRAY(G340),0))),J342&amp;"Por favor no seleccionar los criterios de impacto",K97)</f>
        <v>0</v>
      </c>
      <c r="M97" s="306"/>
      <c r="N97" s="307"/>
      <c r="O97" s="309"/>
      <c r="P97" s="168"/>
      <c r="R97" s="169" t="str">
        <f t="shared" ref="R97:R98" si="163">IF(OR(S97="Preventivo",S97="Detectivo"),"Probabilidad",IF(S97="Correctivo","Impacto",""))</f>
        <v/>
      </c>
      <c r="S97" s="170"/>
      <c r="T97" s="170"/>
      <c r="U97" s="171" t="str">
        <f t="shared" si="159"/>
        <v/>
      </c>
      <c r="V97" s="170"/>
      <c r="W97" s="170"/>
      <c r="X97" s="170"/>
      <c r="Y97" s="172" t="str">
        <f>IFERROR(IF(AND(#REF!="Probabilidad",R97="Probabilidad"),(#REF!-(+#REF!*U97)),IF(AND(#REF!="Impacto",R97="Probabilidad"),(AA96-(+AA96*U97)),IF(R97="Impacto",#REF!,""))),"")</f>
        <v/>
      </c>
      <c r="Z97" s="173" t="str">
        <f t="shared" si="160"/>
        <v/>
      </c>
      <c r="AA97" s="171" t="str">
        <f t="shared" si="161"/>
        <v/>
      </c>
      <c r="AB97" s="173" t="str">
        <f t="shared" si="162"/>
        <v/>
      </c>
      <c r="AC97" s="171" t="str">
        <f>IFERROR(IF(AND(#REF!="Impacto",R97="Impacto"),(#REF!-(+#REF!*U97)),IF(AND(#REF!="Probabilidad",R97="Impacto"),(AC96-(+AC96*U97)),IF(R97="Probabilidad",#REF!,""))),"")</f>
        <v/>
      </c>
      <c r="AD97" s="174" t="str">
        <f t="shared" ref="AD97:AD98" si="164">IFERROR(IF(OR(AND(Z97="Muy Baja",AB97="Leve"),AND(Z97="Muy Baja",AB97="Menor"),AND(Z97="Baja",AB97="Leve")),"Bajo",IF(OR(AND(Z97="Muy baja",AB97="Moderado"),AND(Z97="Baja",AB97="Menor"),AND(Z97="Baja",AB97="Moderado"),AND(Z97="Media",AB97="Leve"),AND(Z97="Media",AB97="Menor"),AND(Z97="Media",AB97="Moderado"),AND(Z97="Alta",AB97="Leve"),AND(Z97="Alta",AB97="Menor")),"Moderado",IF(OR(AND(Z97="Muy Baja",AB97="Mayor"),AND(Z97="Baja",AB97="Mayor"),AND(Z97="Media",AB97="Mayor"),AND(Z97="Alta",AB97="Moderado"),AND(Z97="Alta",AB97="Mayor"),AND(Z97="Muy Alta",AB97="Leve"),AND(Z97="Muy Alta",AB97="Menor"),AND(Z97="Muy Alta",AB97="Moderado"),AND(Z97="Muy Alta",AB97="Mayor")),"Alto",IF(OR(AND(Z97="Muy Baja",AB97="Catastrófico"),AND(Z97="Baja",AB97="Catastrófico"),AND(Z97="Media",AB97="Catastrófico"),AND(Z97="Alta",AB97="Catastrófico"),AND(Z97="Muy Alta",AB97="Catastrófico")),"Extremo","")))),"")</f>
        <v/>
      </c>
      <c r="AE97" s="179"/>
      <c r="AF97" s="192"/>
      <c r="AG97" s="193"/>
      <c r="AH97" s="176"/>
      <c r="AI97" s="176"/>
      <c r="AJ97" s="177"/>
      <c r="AK97" s="522"/>
      <c r="AL97" s="535"/>
      <c r="AM97" s="535"/>
      <c r="AN97" s="535"/>
      <c r="AO97" s="535"/>
      <c r="AP97" s="535"/>
      <c r="AQ97" s="535"/>
      <c r="AR97" s="535"/>
      <c r="AS97" s="158"/>
      <c r="AT97" s="158"/>
      <c r="AU97" s="158"/>
      <c r="AV97" s="158"/>
      <c r="AW97" s="158"/>
      <c r="AX97" s="158"/>
      <c r="AY97" s="158"/>
      <c r="AZ97" s="158"/>
      <c r="BA97" s="158"/>
      <c r="BB97" s="158"/>
      <c r="BC97" s="158"/>
      <c r="BD97" s="158"/>
      <c r="BE97" s="158"/>
      <c r="BF97" s="158"/>
      <c r="BG97" s="158"/>
      <c r="BH97" s="158"/>
      <c r="BI97" s="158"/>
      <c r="BJ97" s="158"/>
    </row>
    <row r="98" spans="2:62" x14ac:dyDescent="0.2">
      <c r="B98" s="314"/>
      <c r="C98" s="324"/>
      <c r="D98" s="317"/>
      <c r="E98" s="313"/>
      <c r="F98" s="313"/>
      <c r="G98" s="304"/>
      <c r="H98" s="305"/>
      <c r="I98" s="306"/>
      <c r="J98" s="307"/>
      <c r="K98" s="308"/>
      <c r="L98" s="307">
        <f>IF(NOT(ISERROR(MATCH(K98,_xlfn.ANCHORARRAY(G341),0))),J343&amp;"Por favor no seleccionar los criterios de impacto",K98)</f>
        <v>0</v>
      </c>
      <c r="M98" s="306"/>
      <c r="N98" s="307"/>
      <c r="O98" s="309"/>
      <c r="P98" s="168"/>
      <c r="Q98" s="127"/>
      <c r="R98" s="169" t="str">
        <f t="shared" si="163"/>
        <v/>
      </c>
      <c r="S98" s="170"/>
      <c r="T98" s="170"/>
      <c r="U98" s="171" t="str">
        <f t="shared" si="159"/>
        <v/>
      </c>
      <c r="V98" s="170"/>
      <c r="W98" s="170"/>
      <c r="X98" s="170"/>
      <c r="Y98" s="172" t="str">
        <f>IFERROR(IF(AND(R97="Probabilidad",R98="Probabilidad"),(AA97-(+AA97*U98)),IF(AND(R97="Impacto",R98="Probabilidad"),(#REF!-(+#REF!*U98)),IF(R98="Impacto",AA97,""))),"")</f>
        <v/>
      </c>
      <c r="Z98" s="173" t="str">
        <f t="shared" si="160"/>
        <v/>
      </c>
      <c r="AA98" s="171" t="str">
        <f t="shared" si="161"/>
        <v/>
      </c>
      <c r="AB98" s="173" t="str">
        <f t="shared" si="162"/>
        <v/>
      </c>
      <c r="AC98" s="171" t="str">
        <f>IFERROR(IF(AND(R97="Impacto",R98="Impacto"),(AC97-(+AC97*U98)),IF(AND(R97="Probabilidad",R98="Impacto"),(#REF!-(+#REF!*U98)),IF(R98="Probabilidad",AC97,""))),"")</f>
        <v/>
      </c>
      <c r="AD98" s="174" t="str">
        <f t="shared" si="164"/>
        <v/>
      </c>
      <c r="AE98" s="179"/>
      <c r="AF98" s="192"/>
      <c r="AG98" s="193"/>
      <c r="AH98" s="176"/>
      <c r="AI98" s="176"/>
      <c r="AJ98" s="177"/>
      <c r="AK98" s="522"/>
      <c r="AL98" s="535"/>
      <c r="AM98" s="535"/>
      <c r="AN98" s="535"/>
      <c r="AO98" s="535"/>
      <c r="AP98" s="535"/>
      <c r="AQ98" s="535"/>
      <c r="AR98" s="535"/>
      <c r="AS98" s="158"/>
      <c r="AT98" s="158"/>
      <c r="AU98" s="158"/>
      <c r="AV98" s="158"/>
      <c r="AW98" s="158"/>
      <c r="AX98" s="158"/>
      <c r="AY98" s="158"/>
      <c r="AZ98" s="158"/>
      <c r="BA98" s="158"/>
      <c r="BB98" s="158"/>
      <c r="BC98" s="158"/>
      <c r="BD98" s="158"/>
      <c r="BE98" s="158"/>
      <c r="BF98" s="158"/>
      <c r="BG98" s="158"/>
      <c r="BH98" s="158"/>
      <c r="BI98" s="158"/>
      <c r="BJ98" s="158"/>
    </row>
    <row r="99" spans="2:62" s="163" customFormat="1" ht="105" customHeight="1" x14ac:dyDescent="0.25">
      <c r="B99" s="314" t="s">
        <v>265</v>
      </c>
      <c r="C99" s="324" t="s">
        <v>256</v>
      </c>
      <c r="D99" s="317" t="s">
        <v>266</v>
      </c>
      <c r="E99" s="313" t="s">
        <v>106</v>
      </c>
      <c r="F99" s="313" t="s">
        <v>267</v>
      </c>
      <c r="G99" s="304" t="s">
        <v>268</v>
      </c>
      <c r="H99" s="305" t="s">
        <v>109</v>
      </c>
      <c r="I99" s="306" t="str">
        <f>IF(H99&lt;=0,"",IF(H99="No se ha presentado en los últimos 5 años","Rara vez",IF(H99="Al menos 1 vez en los últimos 5 años","Improbable",IF(H99="Al menos 1 vez en los últimos 2 años","Posible",IF(H99="Al menos 1 vez en el último año","Probable",IF(H99="Más de 1 vez al año","Casi Seguro"))))))</f>
        <v>Rara vez</v>
      </c>
      <c r="J99" s="307">
        <f>IF(I99="","",IF(I99="Rara vez",0.2,IF(I99="Improbable",0.4,IF(I99="Posible",0.6,IF(I99="Probable",0.8,IF(I99="Casi Seguro",1,))))))</f>
        <v>0.2</v>
      </c>
      <c r="K99" s="308" t="s">
        <v>131</v>
      </c>
      <c r="L99" s="307" t="str">
        <f>IF(NOT(ISERROR(MATCH(K99,'Tabla Impacto'!$B$220:$B$222,0))),'Tabla Impacto'!$F$222&amp;"Por favor no seleccionar los criterios de impacto(Criterios para calificar el impacto)",K99)</f>
        <v xml:space="preserve">Responder afirmativamente de DOCE a DIECINUEVE </v>
      </c>
      <c r="M99" s="306" t="str">
        <f>IF(OR(L99='Tabla Impacto'!$C$5),"Moderado",IF(OR(L99='Tabla Impacto'!$C$6),"Mayor",IF(OR(L99='Tabla Impacto'!$C$7),"Catastrófico","")))</f>
        <v>Catastrófico</v>
      </c>
      <c r="N99" s="307">
        <f>IF(M99="","",IF(M99="Leve",0.2,IF(M99="Menor",0.4,IF(M99="Moderado",0.6,IF(M99="Mayor",0.8,IF(M99="Catastrófico",1,))))))</f>
        <v>1</v>
      </c>
      <c r="O99" s="309" t="str">
        <f>IF(OR(AND(I99="Rara vez",M99="Leve"),AND(I99="Rara vez",M99="Menor"),AND(I99="Improbable",M99="Leve")),"Bajo",IF(OR(AND(I99="Rara vez",M99="Moderado"),AND(I99="Improbable",M99="Menor"),AND(I99="Improbable",M99="Moderado"),AND(I99="Posible",M99="Leve"),AND(I99="Posible",M99="Menor"),AND(I99="Posible",M99="Moderado"),AND(I99="Probable",M99="Leve"),AND(I99="Probable",M99="Menor")),"Moderado",IF(OR(AND(I99="Rara vez",M99="Mayor"),AND(I99="Improbable",M99="Mayor"),AND(I99="Posible",M99="Mayor"),AND(I99="Probable",M99="Moderado"),AND(I99="Probable",M99="Mayor"),AND(I99="Casi Seguro",M99="Leve"),AND(I99="Casi Seguro",M99="Menor"),AND(I99="Casi Seguro",M99="Moderado"),AND(I99="Casi Seguro",M99="Mayor")),"Alto",IF(OR(AND(I99="Rara vez",M99="Catastrófico"),AND(I99="Improbable",M99="Catastrófico"),AND(I99="Posible",M99="Catastrófico"),AND(I99="Probable",M99="Catastrófico"),AND(I99="Casi Seguro",M99="Catastrófico")),"Extremo",""))))</f>
        <v>Extremo</v>
      </c>
      <c r="P99" s="168">
        <v>1</v>
      </c>
      <c r="Q99" s="129" t="s">
        <v>269</v>
      </c>
      <c r="R99" s="169" t="str">
        <f>IF(OR(S99="Preventivo",S99="Detectivo"),"Probabilidad",IF(S99="Correctivo","Impacto",""))</f>
        <v>Probabilidad</v>
      </c>
      <c r="S99" s="170" t="s">
        <v>133</v>
      </c>
      <c r="T99" s="170" t="s">
        <v>113</v>
      </c>
      <c r="U99" s="171" t="str">
        <f>IF(AND(S99="Preventivo",T99="Automático"),"50%",IF(AND(S99="Preventivo",T99="Manual"),"40%",IF(AND(S99="Detectivo",T99="Automático"),"40%",IF(AND(S99="Detectivo",T99="Manual"),"30%",IF(AND(S99="Correctivo",T99="Automático"),"35%",IF(AND(S99="Correctivo",T99="Manual"),"25%",""))))))</f>
        <v>30%</v>
      </c>
      <c r="V99" s="170" t="s">
        <v>119</v>
      </c>
      <c r="W99" s="170" t="s">
        <v>115</v>
      </c>
      <c r="X99" s="170" t="s">
        <v>134</v>
      </c>
      <c r="Y99" s="172">
        <f>IFERROR(IF(R99="Probabilidad",(J99-(+J99*U99)),IF(R99="Impacto",J99,"")),"")</f>
        <v>0.14000000000000001</v>
      </c>
      <c r="Z99" s="173" t="str">
        <f>IFERROR(IF(Y99="","",IF(Y99&lt;=0.2,"Rara vez",IF(Y99&lt;=0.4,"Improbable",IF(Y99&lt;=0.6,"Posible",IF(Y99&lt;=0.8,"Probable","Casi Seguro"))))),"")</f>
        <v>Rara vez</v>
      </c>
      <c r="AA99" s="171">
        <f>+Y99</f>
        <v>0.14000000000000001</v>
      </c>
      <c r="AB99" s="173" t="str">
        <f>IFERROR(IF(AC99="","",IF(AC99&lt;=0.6,"Moderado",IF(AC99&lt;=0.8,"Mayor","Catastrófico"))),"")</f>
        <v>Catastrófico</v>
      </c>
      <c r="AC99" s="171">
        <f>IFERROR(IF(R99="Impacto",(N99-(+N99*U99)),IF(R99="Probabilidad",N99,"")),"")</f>
        <v>1</v>
      </c>
      <c r="AD99" s="174" t="str">
        <f>IFERROR(IF(OR(AND(Z99="Rara vez",AB99="Leve"),AND(Z99="Rara vez",AB99="Menor"),AND(Z99="Improbable",AB99="Leve")),"Bajo",IF(OR(AND(Z99="Rara vez",AB99="Moderado"),AND(Z99="Improbable",AB99="Menor"),AND(Z99="Improbable",AB99="Moderado"),AND(Z99="Posible",AB99="Leve"),AND(Z99="Posible",AB99="Menor"),AND(Z99="Posible",AB99="Moderado"),AND(Z99="Probable",AB99="Leve"),AND(Z99="Probable",AB99="Menor")),"Moderado",IF(OR(AND(Z99="Rara vez",AB99="Mayor"),AND(Z99="Improbable",AB99="Mayor"),AND(Z99="Posible",AB99="Mayor"),AND(Z99="Probable",AB99="Moderado"),AND(Z99="Probable",AB99="Mayor"),AND(Z99="Casi Seguro",AB99="Leve"),AND(Z99="Casi Seguro",AB99="Menor"),AND(Z99="Casi Seguro",AB99="Moderado"),AND(Z99="Casi Seguro",AB99="Mayor")),"Alto",IF(OR(AND(Z99="Rara vez",AB99="Catastrófico"),AND(Z99="Improbable",AB99="Catastrófico"),AND(Z99="Posible",AB99="Catastrófico"),AND(Z99="Probable",AB99="Catastrófico"),AND(Z99="Casi Seguro",AB99="Catastrófico")),"Extremo","")))),"")</f>
        <v>Extremo</v>
      </c>
      <c r="AE99" s="170"/>
      <c r="AF99" s="123"/>
      <c r="AG99" s="123"/>
      <c r="AH99" s="175"/>
      <c r="AI99" s="176"/>
      <c r="AJ99" s="177"/>
      <c r="AK99" s="522"/>
      <c r="AL99" s="534"/>
      <c r="AM99" s="534"/>
      <c r="AN99" s="534"/>
      <c r="AO99" s="534"/>
      <c r="AP99" s="534"/>
      <c r="AQ99" s="534"/>
      <c r="AR99" s="534"/>
      <c r="AS99" s="178"/>
      <c r="AT99" s="178"/>
      <c r="AU99" s="178"/>
      <c r="AV99" s="178"/>
      <c r="AW99" s="178"/>
      <c r="AX99" s="178"/>
      <c r="AY99" s="178"/>
      <c r="AZ99" s="178"/>
      <c r="BA99" s="178"/>
      <c r="BB99" s="178"/>
      <c r="BC99" s="178"/>
      <c r="BD99" s="178"/>
      <c r="BE99" s="178"/>
      <c r="BF99" s="178"/>
      <c r="BG99" s="178"/>
      <c r="BH99" s="178"/>
      <c r="BI99" s="178"/>
      <c r="BJ99" s="178"/>
    </row>
    <row r="100" spans="2:62" ht="129" customHeight="1" x14ac:dyDescent="0.2">
      <c r="B100" s="314"/>
      <c r="C100" s="324"/>
      <c r="D100" s="317"/>
      <c r="E100" s="313"/>
      <c r="F100" s="313"/>
      <c r="G100" s="304"/>
      <c r="H100" s="305"/>
      <c r="I100" s="306"/>
      <c r="J100" s="307"/>
      <c r="K100" s="308"/>
      <c r="L100" s="307">
        <f>IF(NOT(ISERROR(MATCH(K100,_xlfn.ANCHORARRAY(G342),0))),J344&amp;"Por favor no seleccionar los criterios de impacto",K100)</f>
        <v>0</v>
      </c>
      <c r="M100" s="306"/>
      <c r="N100" s="307"/>
      <c r="O100" s="309"/>
      <c r="P100" s="168">
        <v>2</v>
      </c>
      <c r="Q100" s="129" t="s">
        <v>270</v>
      </c>
      <c r="R100" s="169" t="s">
        <v>136</v>
      </c>
      <c r="S100" s="182" t="s">
        <v>137</v>
      </c>
      <c r="T100" s="170" t="s">
        <v>113</v>
      </c>
      <c r="U100" s="171" t="str">
        <f t="shared" ref="U100:U103" si="165">IF(AND(S100="Preventivo",T100="Automático"),"50%",IF(AND(S100="Preventivo",T100="Manual"),"40%",IF(AND(S100="Detectivo",T100="Automático"),"40%",IF(AND(S100="Detectivo",T100="Manual"),"30%",IF(AND(S100="Correctivo",T100="Automático"),"35%",IF(AND(S100="Correctivo",T100="Manual"),"25%",""))))))</f>
        <v>25%</v>
      </c>
      <c r="V100" s="170" t="s">
        <v>119</v>
      </c>
      <c r="W100" s="170" t="s">
        <v>115</v>
      </c>
      <c r="X100" s="170" t="s">
        <v>134</v>
      </c>
      <c r="Y100" s="172">
        <f>IFERROR(IF(AND(R99="Probabilidad",R100="Probabilidad"),(AA99-(+AA99*U100)),IF(R100="Probabilidad",(J99-(+J99*U100)),IF(R100="Impacto",AA99,""))),"")</f>
        <v>0.14000000000000001</v>
      </c>
      <c r="Z100" s="173" t="str">
        <f t="shared" ref="Z100:Z103" si="166">IFERROR(IF(Y100="","",IF(Y100&lt;=0.2,"Rara vez",IF(Y100&lt;=0.4,"Improbable",IF(Y100&lt;=0.6,"Posible",IF(Y100&lt;=0.8,"Probable","Casi Seguro"))))),"")</f>
        <v>Rara vez</v>
      </c>
      <c r="AA100" s="171">
        <f t="shared" ref="AA100:AA103" si="167">+Y100</f>
        <v>0.14000000000000001</v>
      </c>
      <c r="AB100" s="173" t="str">
        <f t="shared" ref="AB100:AB103" si="168">IFERROR(IF(AC100="","",IF(AC100&lt;=0.6,"Moderado",IF(AC100&lt;=0.8,"Mayor","Catastrófico"))),"")</f>
        <v>Mayor</v>
      </c>
      <c r="AC100" s="171">
        <f>IFERROR(IF(AND(R99="Impacto",R100="Impacto"),(AC99-(+AC99*U100)),IF(R100="Impacto",(N99-(+N99*U100)),IF(R100="Probabilidad",AC99,""))),"")</f>
        <v>0.75</v>
      </c>
      <c r="AD100" s="174" t="str">
        <f>IFERROR(IF(OR(AND(Z100="Rara vez",AB100="Leve"),AND(Z100="Rara vez",AB100="Menor"),AND(Z100="Improbable",AB100="Leve")),"Bajo",IF(OR(AND(Z100="Rara vez",AB100="Moderado"),AND(Z100="Improbable",AB100="Menor"),AND(Z100="Improbable",AB100="Moderado"),AND(Z100="Posible",AB100="Leve"),AND(Z100="Posible",AB100="Menor"),AND(Z100="Posible",AB100="Moderado"),AND(Z100="Probable",AB100="Leve"),AND(Z100="Probable",AB100="Menor")),"Moderado",IF(OR(AND(Z100="Rara vez",AB100="Mayor"),AND(Z100="Improbable",AB100="Mayor"),AND(Z100="Posible",AB100="Mayor"),AND(Z100="Probable",AB100="Moderado"),AND(Z100="Probable",AB100="Mayor"),AND(Z100="Casi Seguro",AB100="Leve"),AND(Z100="Casi Seguro",AB100="Menor"),AND(Z100="Casi Seguro",AB100="Moderado"),AND(Z100="Casi Seguro",AB100="Mayor")),"Alto",IF(OR(AND(Z100="Rara vez",AB100="Catastrófico"),AND(Z100="Improbable",AB100="Catastrófico"),AND(Z100="Posible",AB100="Catastrófico"),AND(Z100="Probable",AB100="Catastrófico"),AND(Z100="Casi Seguro",AB100="Catastrófico")),"Extremo","")))),"")</f>
        <v>Alto</v>
      </c>
      <c r="AE100" s="170" t="s">
        <v>120</v>
      </c>
      <c r="AF100" s="132" t="s">
        <v>271</v>
      </c>
      <c r="AG100" s="132" t="s">
        <v>272</v>
      </c>
      <c r="AH100" s="180">
        <v>46022</v>
      </c>
      <c r="AI100" s="175"/>
      <c r="AJ100" s="188"/>
      <c r="AK100" s="523" t="s">
        <v>123</v>
      </c>
      <c r="AL100" s="535"/>
      <c r="AM100" s="535"/>
      <c r="AN100" s="535"/>
      <c r="AO100" s="535"/>
      <c r="AP100" s="535"/>
      <c r="AQ100" s="535"/>
      <c r="AR100" s="535"/>
      <c r="AS100" s="158"/>
      <c r="AT100" s="158"/>
      <c r="AU100" s="158"/>
      <c r="AV100" s="158"/>
      <c r="AW100" s="158"/>
      <c r="AX100" s="158"/>
      <c r="AY100" s="158"/>
      <c r="AZ100" s="158"/>
      <c r="BA100" s="158"/>
      <c r="BB100" s="158"/>
      <c r="BC100" s="158"/>
      <c r="BD100" s="158"/>
      <c r="BE100" s="158"/>
      <c r="BF100" s="158"/>
      <c r="BG100" s="158"/>
      <c r="BH100" s="158"/>
      <c r="BI100" s="158"/>
      <c r="BJ100" s="158"/>
    </row>
    <row r="101" spans="2:62" x14ac:dyDescent="0.2">
      <c r="B101" s="314"/>
      <c r="C101" s="324"/>
      <c r="D101" s="317"/>
      <c r="E101" s="313"/>
      <c r="F101" s="313"/>
      <c r="G101" s="304"/>
      <c r="H101" s="305"/>
      <c r="I101" s="306"/>
      <c r="J101" s="307"/>
      <c r="K101" s="308"/>
      <c r="L101" s="307">
        <f>IF(NOT(ISERROR(MATCH(K101,_xlfn.ANCHORARRAY(G343),0))),J345&amp;"Por favor no seleccionar los criterios de impacto",K101)</f>
        <v>0</v>
      </c>
      <c r="M101" s="306"/>
      <c r="N101" s="307"/>
      <c r="O101" s="309"/>
      <c r="P101" s="168"/>
      <c r="Q101" s="129"/>
      <c r="R101" s="169"/>
      <c r="S101" s="182"/>
      <c r="T101" s="170"/>
      <c r="U101" s="171"/>
      <c r="V101" s="170"/>
      <c r="W101" s="170"/>
      <c r="X101" s="170"/>
      <c r="Y101" s="172"/>
      <c r="Z101" s="173"/>
      <c r="AA101" s="171"/>
      <c r="AB101" s="173"/>
      <c r="AC101" s="171"/>
      <c r="AD101" s="174"/>
      <c r="AE101" s="196"/>
      <c r="AF101" s="136"/>
      <c r="AG101" s="136"/>
      <c r="AH101" s="202"/>
      <c r="AI101" s="187"/>
      <c r="AJ101" s="188"/>
      <c r="AK101" s="523"/>
      <c r="AL101" s="535"/>
      <c r="AM101" s="535"/>
      <c r="AN101" s="535"/>
      <c r="AO101" s="535"/>
      <c r="AP101" s="535"/>
      <c r="AQ101" s="535"/>
      <c r="AR101" s="535"/>
      <c r="AS101" s="158"/>
      <c r="AT101" s="158"/>
      <c r="AU101" s="158"/>
      <c r="AV101" s="158"/>
      <c r="AW101" s="158"/>
      <c r="AX101" s="158"/>
      <c r="AY101" s="158"/>
      <c r="AZ101" s="158"/>
      <c r="BA101" s="158"/>
      <c r="BB101" s="158"/>
      <c r="BC101" s="158"/>
      <c r="BD101" s="158"/>
      <c r="BE101" s="158"/>
      <c r="BF101" s="158"/>
      <c r="BG101" s="158"/>
      <c r="BH101" s="158"/>
      <c r="BI101" s="158"/>
      <c r="BJ101" s="158"/>
    </row>
    <row r="102" spans="2:62" x14ac:dyDescent="0.2">
      <c r="B102" s="314"/>
      <c r="C102" s="324"/>
      <c r="D102" s="317"/>
      <c r="E102" s="313"/>
      <c r="F102" s="313"/>
      <c r="G102" s="304"/>
      <c r="H102" s="305"/>
      <c r="I102" s="306"/>
      <c r="J102" s="307"/>
      <c r="K102" s="308"/>
      <c r="L102" s="307">
        <f>IF(NOT(ISERROR(MATCH(K102,_xlfn.ANCHORARRAY(G345),0))),J347&amp;"Por favor no seleccionar los criterios de impacto",K102)</f>
        <v>0</v>
      </c>
      <c r="M102" s="306"/>
      <c r="N102" s="307"/>
      <c r="O102" s="309"/>
      <c r="P102" s="168"/>
      <c r="R102" s="169" t="str">
        <f t="shared" ref="R102:R103" si="169">IF(OR(S102="Preventivo",S102="Detectivo"),"Probabilidad",IF(S102="Correctivo","Impacto",""))</f>
        <v/>
      </c>
      <c r="S102" s="170"/>
      <c r="T102" s="170"/>
      <c r="U102" s="171" t="str">
        <f t="shared" si="165"/>
        <v/>
      </c>
      <c r="V102" s="170"/>
      <c r="W102" s="170"/>
      <c r="X102" s="170"/>
      <c r="Y102" s="172" t="str">
        <f>IFERROR(IF(AND(#REF!="Probabilidad",R102="Probabilidad"),(#REF!-(+#REF!*U102)),IF(AND(#REF!="Impacto",R102="Probabilidad"),(AA101-(+AA101*U102)),IF(R102="Impacto",#REF!,""))),"")</f>
        <v/>
      </c>
      <c r="Z102" s="173" t="str">
        <f t="shared" si="166"/>
        <v/>
      </c>
      <c r="AA102" s="171" t="str">
        <f t="shared" si="167"/>
        <v/>
      </c>
      <c r="AB102" s="173" t="str">
        <f t="shared" si="168"/>
        <v/>
      </c>
      <c r="AC102" s="171" t="str">
        <f>IFERROR(IF(AND(#REF!="Impacto",R102="Impacto"),(#REF!-(+#REF!*U102)),IF(AND(#REF!="Probabilidad",R102="Impacto"),(AC101-(+AC101*U102)),IF(R102="Probabilidad",#REF!,""))),"")</f>
        <v/>
      </c>
      <c r="AD102" s="174" t="str">
        <f t="shared" ref="AD102:AD103" si="170">IFERROR(IF(OR(AND(Z102="Muy Baja",AB102="Leve"),AND(Z102="Muy Baja",AB102="Menor"),AND(Z102="Baja",AB102="Leve")),"Bajo",IF(OR(AND(Z102="Muy baja",AB102="Moderado"),AND(Z102="Baja",AB102="Menor"),AND(Z102="Baja",AB102="Moderado"),AND(Z102="Media",AB102="Leve"),AND(Z102="Media",AB102="Menor"),AND(Z102="Media",AB102="Moderado"),AND(Z102="Alta",AB102="Leve"),AND(Z102="Alta",AB102="Menor")),"Moderado",IF(OR(AND(Z102="Muy Baja",AB102="Mayor"),AND(Z102="Baja",AB102="Mayor"),AND(Z102="Media",AB102="Mayor"),AND(Z102="Alta",AB102="Moderado"),AND(Z102="Alta",AB102="Mayor"),AND(Z102="Muy Alta",AB102="Leve"),AND(Z102="Muy Alta",AB102="Menor"),AND(Z102="Muy Alta",AB102="Moderado"),AND(Z102="Muy Alta",AB102="Mayor")),"Alto",IF(OR(AND(Z102="Muy Baja",AB102="Catastrófico"),AND(Z102="Baja",AB102="Catastrófico"),AND(Z102="Media",AB102="Catastrófico"),AND(Z102="Alta",AB102="Catastrófico"),AND(Z102="Muy Alta",AB102="Catastrófico")),"Extremo","")))),"")</f>
        <v/>
      </c>
      <c r="AE102" s="179"/>
      <c r="AF102" s="192"/>
      <c r="AG102" s="193"/>
      <c r="AH102" s="176"/>
      <c r="AI102" s="176"/>
      <c r="AJ102" s="177"/>
      <c r="AK102" s="522"/>
      <c r="AL102" s="535"/>
      <c r="AM102" s="535"/>
      <c r="AN102" s="535"/>
      <c r="AO102" s="535"/>
      <c r="AP102" s="535"/>
      <c r="AQ102" s="535"/>
      <c r="AR102" s="535"/>
      <c r="AS102" s="158"/>
      <c r="AT102" s="158"/>
      <c r="AU102" s="158"/>
      <c r="AV102" s="158"/>
      <c r="AW102" s="158"/>
      <c r="AX102" s="158"/>
      <c r="AY102" s="158"/>
      <c r="AZ102" s="158"/>
      <c r="BA102" s="158"/>
      <c r="BB102" s="158"/>
      <c r="BC102" s="158"/>
      <c r="BD102" s="158"/>
      <c r="BE102" s="158"/>
      <c r="BF102" s="158"/>
      <c r="BG102" s="158"/>
      <c r="BH102" s="158"/>
      <c r="BI102" s="158"/>
      <c r="BJ102" s="158"/>
    </row>
    <row r="103" spans="2:62" x14ac:dyDescent="0.2">
      <c r="B103" s="314"/>
      <c r="C103" s="324"/>
      <c r="D103" s="317"/>
      <c r="E103" s="313"/>
      <c r="F103" s="313"/>
      <c r="G103" s="304"/>
      <c r="H103" s="305"/>
      <c r="I103" s="306"/>
      <c r="J103" s="307"/>
      <c r="K103" s="308"/>
      <c r="L103" s="307">
        <f>IF(NOT(ISERROR(MATCH(K103,_xlfn.ANCHORARRAY(G346),0))),J348&amp;"Por favor no seleccionar los criterios de impacto",K103)</f>
        <v>0</v>
      </c>
      <c r="M103" s="306"/>
      <c r="N103" s="307"/>
      <c r="O103" s="309"/>
      <c r="P103" s="168"/>
      <c r="Q103" s="127"/>
      <c r="R103" s="169" t="str">
        <f t="shared" si="169"/>
        <v/>
      </c>
      <c r="S103" s="170"/>
      <c r="T103" s="170"/>
      <c r="U103" s="171" t="str">
        <f t="shared" si="165"/>
        <v/>
      </c>
      <c r="V103" s="170"/>
      <c r="W103" s="170"/>
      <c r="X103" s="170"/>
      <c r="Y103" s="172" t="str">
        <f>IFERROR(IF(AND(R102="Probabilidad",R103="Probabilidad"),(AA102-(+AA102*U103)),IF(AND(R102="Impacto",R103="Probabilidad"),(#REF!-(+#REF!*U103)),IF(R103="Impacto",AA102,""))),"")</f>
        <v/>
      </c>
      <c r="Z103" s="173" t="str">
        <f t="shared" si="166"/>
        <v/>
      </c>
      <c r="AA103" s="171" t="str">
        <f t="shared" si="167"/>
        <v/>
      </c>
      <c r="AB103" s="173" t="str">
        <f t="shared" si="168"/>
        <v/>
      </c>
      <c r="AC103" s="171" t="str">
        <f>IFERROR(IF(AND(R102="Impacto",R103="Impacto"),(AC102-(+AC102*U103)),IF(AND(R102="Probabilidad",R103="Impacto"),(#REF!-(+#REF!*U103)),IF(R103="Probabilidad",AC102,""))),"")</f>
        <v/>
      </c>
      <c r="AD103" s="174" t="str">
        <f t="shared" si="170"/>
        <v/>
      </c>
      <c r="AE103" s="179"/>
      <c r="AF103" s="192"/>
      <c r="AG103" s="193"/>
      <c r="AH103" s="176"/>
      <c r="AI103" s="176"/>
      <c r="AJ103" s="177"/>
      <c r="AK103" s="522"/>
      <c r="AL103" s="535"/>
      <c r="AM103" s="535"/>
      <c r="AN103" s="535"/>
      <c r="AO103" s="535"/>
      <c r="AP103" s="535"/>
      <c r="AQ103" s="535"/>
      <c r="AR103" s="535"/>
      <c r="AS103" s="158"/>
      <c r="AT103" s="158"/>
      <c r="AU103" s="158"/>
      <c r="AV103" s="158"/>
      <c r="AW103" s="158"/>
      <c r="AX103" s="158"/>
      <c r="AY103" s="158"/>
      <c r="AZ103" s="158"/>
      <c r="BA103" s="158"/>
      <c r="BB103" s="158"/>
      <c r="BC103" s="158"/>
      <c r="BD103" s="158"/>
      <c r="BE103" s="158"/>
      <c r="BF103" s="158"/>
      <c r="BG103" s="158"/>
      <c r="BH103" s="158"/>
      <c r="BI103" s="158"/>
      <c r="BJ103" s="158"/>
    </row>
    <row r="104" spans="2:62" s="163" customFormat="1" ht="65.25" x14ac:dyDescent="0.25">
      <c r="B104" s="314" t="s">
        <v>273</v>
      </c>
      <c r="C104" s="315" t="s">
        <v>274</v>
      </c>
      <c r="D104" s="317" t="s">
        <v>275</v>
      </c>
      <c r="E104" s="313" t="s">
        <v>127</v>
      </c>
      <c r="F104" s="313" t="s">
        <v>276</v>
      </c>
      <c r="G104" s="304" t="s">
        <v>277</v>
      </c>
      <c r="H104" s="305" t="s">
        <v>224</v>
      </c>
      <c r="I104" s="306" t="str">
        <f>IF(H104&lt;=0,"",IF(H104="No se ha presentado en los últimos 5 años","Rara vez",IF(H104="Al menos 1 vez en los últimos 5 años","Improbable",IF(H104="Al menos 1 vez en los últimos 2 años","Posible",IF(H104="Al menos 1 vez en el último año","Probable",IF(H104="Más de 1 vez al año","Casi Seguro"))))))</f>
        <v>Posible</v>
      </c>
      <c r="J104" s="307">
        <f>IF(I104="","",IF(I104="Rara vez",0.2,IF(I104="Improbable",0.4,IF(I104="Posible",0.6,IF(I104="Probable",0.8,IF(I104="Casi Seguro",1,))))))</f>
        <v>0.6</v>
      </c>
      <c r="K104" s="308" t="s">
        <v>110</v>
      </c>
      <c r="L104" s="307" t="str">
        <f>IF(NOT(ISERROR(MATCH(K104,'Tabla Impacto'!$B$220:$B$222,0))),'Tabla Impacto'!$F$222&amp;"Por favor no seleccionar los criterios de impacto(Criterios para calificar el impacto)",K104)</f>
        <v>Responder afirmativamente de SEIS a ONCE</v>
      </c>
      <c r="M104" s="306" t="str">
        <f>IF(OR(L104='Tabla Impacto'!$C$5),"Moderado",IF(OR(L104='Tabla Impacto'!$C$6),"Mayor",IF(OR(L104='Tabla Impacto'!$C$7),"Catastrófico","")))</f>
        <v>Mayor</v>
      </c>
      <c r="N104" s="307">
        <f>IF(M104="","",IF(M104="Leve",0.2,IF(M104="Menor",0.4,IF(M104="Moderado",0.6,IF(M104="Mayor",0.8,IF(M104="Catastrófico",1,))))))</f>
        <v>0.8</v>
      </c>
      <c r="O104" s="309" t="str">
        <f>IF(OR(AND(I104="Rara vez",M104="Leve"),AND(I104="Rara vez",M104="Menor"),AND(I104="Improbable",M104="Leve")),"Bajo",IF(OR(AND(I104="Rara vez",M104="Moderado"),AND(I104="Improbable",M104="Menor"),AND(I104="Improbable",M104="Moderado"),AND(I104="Posible",M104="Leve"),AND(I104="Posible",M104="Menor"),AND(I104="Posible",M104="Moderado"),AND(I104="Probable",M104="Leve"),AND(I104="Probable",M104="Menor")),"Moderado",IF(OR(AND(I104="Rara vez",M104="Mayor"),AND(I104="Improbable",M104="Mayor"),AND(I104="Posible",M104="Mayor"),AND(I104="Probable",M104="Moderado"),AND(I104="Probable",M104="Mayor"),AND(I104="Casi Seguro",M104="Leve"),AND(I104="Casi Seguro",M104="Menor"),AND(I104="Casi Seguro",M104="Moderado"),AND(I104="Casi Seguro",M104="Mayor")),"Alto",IF(OR(AND(I104="Rara vez",M104="Catastrófico"),AND(I104="Improbable",M104="Catastrófico"),AND(I104="Posible",M104="Catastrófico"),AND(I104="Probable",M104="Catastrófico"),AND(I104="Casi Seguro",M104="Catastrófico")),"Extremo",""))))</f>
        <v>Alto</v>
      </c>
      <c r="P104" s="168">
        <v>1</v>
      </c>
      <c r="Q104" s="129" t="s">
        <v>278</v>
      </c>
      <c r="R104" s="169" t="str">
        <f>IF(OR(S104="Preventivo",S104="Detectivo"),"Probabilidad",IF(S104="Correctivo","Impacto",""))</f>
        <v>Probabilidad</v>
      </c>
      <c r="S104" s="170" t="s">
        <v>112</v>
      </c>
      <c r="T104" s="170" t="s">
        <v>113</v>
      </c>
      <c r="U104" s="171" t="str">
        <f>IF(AND(S104="Preventivo",T104="Automático"),"50%",IF(AND(S104="Preventivo",T104="Manual"),"40%",IF(AND(S104="Detectivo",T104="Automático"),"40%",IF(AND(S104="Detectivo",T104="Manual"),"30%",IF(AND(S104="Correctivo",T104="Automático"),"35%",IF(AND(S104="Correctivo",T104="Manual"),"25%",""))))))</f>
        <v>40%</v>
      </c>
      <c r="V104" s="170" t="s">
        <v>119</v>
      </c>
      <c r="W104" s="170" t="s">
        <v>115</v>
      </c>
      <c r="X104" s="170" t="s">
        <v>134</v>
      </c>
      <c r="Y104" s="172">
        <f>IFERROR(IF(R104="Probabilidad",(J104-(+J104*U104)),IF(R104="Impacto",J104,"")),"")</f>
        <v>0.36</v>
      </c>
      <c r="Z104" s="173" t="str">
        <f>IFERROR(IF(Y104="","",IF(Y104&lt;=0.2,"Rara vez",IF(Y104&lt;=0.4,"Improbable",IF(Y104&lt;=0.6,"Posible",IF(Y104&lt;=0.8,"Probable","Casi Seguro"))))),"")</f>
        <v>Improbable</v>
      </c>
      <c r="AA104" s="171">
        <f>+Y104</f>
        <v>0.36</v>
      </c>
      <c r="AB104" s="173" t="str">
        <f>IFERROR(IF(AC104="","",IF(AC104&lt;=0.6,"Moderado",IF(AC104&lt;=0.8,"Mayor","Catastrófico"))),"")</f>
        <v>Mayor</v>
      </c>
      <c r="AC104" s="171">
        <f>IFERROR(IF(R104="Impacto",(N104-(+N104*U104)),IF(R104="Probabilidad",N104,"")),"")</f>
        <v>0.8</v>
      </c>
      <c r="AD104" s="174" t="str">
        <f>IFERROR(IF(OR(AND(Z104="Rara vez",AB104="Leve"),AND(Z104="Rara vez",AB104="Menor"),AND(Z104="Improbable",AB104="Leve")),"Bajo",IF(OR(AND(Z104="Rara vez",AB104="Moderado"),AND(Z104="Improbable",AB104="Menor"),AND(Z104="Improbable",AB104="Moderado"),AND(Z104="Posible",AB104="Leve"),AND(Z104="Posible",AB104="Menor"),AND(Z104="Posible",AB104="Moderado"),AND(Z104="Probable",AB104="Leve"),AND(Z104="Probable",AB104="Menor")),"Moderado",IF(OR(AND(Z104="Rara vez",AB104="Mayor"),AND(Z104="Improbable",AB104="Mayor"),AND(Z104="Posible",AB104="Mayor"),AND(Z104="Probable",AB104="Moderado"),AND(Z104="Probable",AB104="Mayor"),AND(Z104="Casi Seguro",AB104="Leve"),AND(Z104="Casi Seguro",AB104="Menor"),AND(Z104="Casi Seguro",AB104="Moderado"),AND(Z104="Casi Seguro",AB104="Mayor")),"Alto",IF(OR(AND(Z104="Rara vez",AB104="Catastrófico"),AND(Z104="Improbable",AB104="Catastrófico"),AND(Z104="Posible",AB104="Catastrófico"),AND(Z104="Probable",AB104="Catastrófico"),AND(Z104="Casi Seguro",AB104="Catastrófico")),"Extremo","")))),"")</f>
        <v>Alto</v>
      </c>
      <c r="AE104" s="170"/>
      <c r="AF104" s="123"/>
      <c r="AG104" s="123"/>
      <c r="AH104" s="175"/>
      <c r="AI104" s="176"/>
      <c r="AJ104" s="177"/>
      <c r="AK104" s="522"/>
      <c r="AL104" s="534"/>
      <c r="AM104" s="534"/>
      <c r="AN104" s="534"/>
      <c r="AO104" s="534"/>
      <c r="AP104" s="534"/>
      <c r="AQ104" s="534"/>
      <c r="AR104" s="534"/>
      <c r="AS104" s="178"/>
      <c r="AT104" s="178"/>
      <c r="AU104" s="178"/>
      <c r="AV104" s="178"/>
      <c r="AW104" s="178"/>
      <c r="AX104" s="178"/>
      <c r="AY104" s="178"/>
      <c r="AZ104" s="178"/>
      <c r="BA104" s="178"/>
      <c r="BB104" s="178"/>
      <c r="BC104" s="178"/>
      <c r="BD104" s="178"/>
      <c r="BE104" s="178"/>
      <c r="BF104" s="178"/>
      <c r="BG104" s="178"/>
      <c r="BH104" s="178"/>
      <c r="BI104" s="178"/>
      <c r="BJ104" s="178"/>
    </row>
    <row r="105" spans="2:62" ht="54.75" customHeight="1" x14ac:dyDescent="0.2">
      <c r="B105" s="314"/>
      <c r="C105" s="316"/>
      <c r="D105" s="317"/>
      <c r="E105" s="313"/>
      <c r="F105" s="313"/>
      <c r="G105" s="304"/>
      <c r="H105" s="305"/>
      <c r="I105" s="306"/>
      <c r="J105" s="307"/>
      <c r="K105" s="308"/>
      <c r="L105" s="307">
        <f>IF(NOT(ISERROR(MATCH(K105,_xlfn.ANCHORARRAY(G347),0))),J349&amp;"Por favor no seleccionar los criterios de impacto",K105)</f>
        <v>0</v>
      </c>
      <c r="M105" s="306"/>
      <c r="N105" s="307"/>
      <c r="O105" s="309"/>
      <c r="P105" s="168">
        <v>2</v>
      </c>
      <c r="Q105" s="129" t="s">
        <v>279</v>
      </c>
      <c r="R105" s="169" t="str">
        <f>IF(OR(S105="Preventivo",S105="Detectivo"),"Probabilidad",IF(S105="Correctivo","Impacto",""))</f>
        <v>Probabilidad</v>
      </c>
      <c r="S105" s="170" t="s">
        <v>133</v>
      </c>
      <c r="T105" s="170" t="s">
        <v>113</v>
      </c>
      <c r="U105" s="171" t="str">
        <f t="shared" ref="U105:U109" si="171">IF(AND(S105="Preventivo",T105="Automático"),"50%",IF(AND(S105="Preventivo",T105="Manual"),"40%",IF(AND(S105="Detectivo",T105="Automático"),"40%",IF(AND(S105="Detectivo",T105="Manual"),"30%",IF(AND(S105="Correctivo",T105="Automático"),"35%",IF(AND(S105="Correctivo",T105="Manual"),"25%",""))))))</f>
        <v>30%</v>
      </c>
      <c r="V105" s="170" t="s">
        <v>114</v>
      </c>
      <c r="W105" s="170" t="s">
        <v>115</v>
      </c>
      <c r="X105" s="170" t="s">
        <v>116</v>
      </c>
      <c r="Y105" s="172">
        <f>IFERROR(IF(AND(R104="Probabilidad",R105="Probabilidad"),(AA104-(+AA104*U105)),IF(R105="Probabilidad",(J104-(+J104*U105)),IF(R105="Impacto",AA104,""))),"")</f>
        <v>0.252</v>
      </c>
      <c r="Z105" s="173" t="str">
        <f t="shared" ref="Z105:Z106" si="172">IFERROR(IF(Y105="","",IF(Y105&lt;=0.2,"Rara vez",IF(Y105&lt;=0.4,"Improbable",IF(Y105&lt;=0.6,"Posible",IF(Y105&lt;=0.8,"Probable","Casi Seguro"))))),"")</f>
        <v>Improbable</v>
      </c>
      <c r="AA105" s="171">
        <f t="shared" ref="AA105:AA109" si="173">+Y105</f>
        <v>0.252</v>
      </c>
      <c r="AB105" s="173" t="str">
        <f t="shared" ref="AB105:AB106" si="174">IFERROR(IF(AC105="","",IF(AC105&lt;=0.6,"Moderado",IF(AC105&lt;=0.8,"Mayor","Catastrófico"))),"")</f>
        <v>Mayor</v>
      </c>
      <c r="AC105" s="171">
        <f>IFERROR(IF(AND(R104="Impacto",R105="Impacto"),(AC104-(+AC104*U105)),IF(R105="Impacto",(N104-(+N104*U105)),IF(R105="Probabilidad",AC104,""))),"")</f>
        <v>0.8</v>
      </c>
      <c r="AD105" s="174" t="str">
        <f>IFERROR(IF(OR(AND(Z105="Rara vez",AB105="Leve"),AND(Z105="Rara vez",AB105="Menor"),AND(Z105="Improbable",AB105="Leve")),"Bajo",IF(OR(AND(Z105="Rara vez",AB105="Moderado"),AND(Z105="Improbable",AB105="Menor"),AND(Z105="Improbable",AB105="Moderado"),AND(Z105="Posible",AB105="Leve"),AND(Z105="Posible",AB105="Menor"),AND(Z105="Posible",AB105="Moderado"),AND(Z105="Probable",AB105="Leve"),AND(Z105="Probable",AB105="Menor")),"Moderado",IF(OR(AND(Z105="Rara vez",AB105="Mayor"),AND(Z105="Improbable",AB105="Mayor"),AND(Z105="Posible",AB105="Mayor"),AND(Z105="Probable",AB105="Moderado"),AND(Z105="Probable",AB105="Mayor"),AND(Z105="Casi Seguro",AB105="Leve"),AND(Z105="Casi Seguro",AB105="Menor"),AND(Z105="Casi Seguro",AB105="Moderado"),AND(Z105="Casi Seguro",AB105="Mayor")),"Alto",IF(OR(AND(Z105="Rara vez",AB105="Catastrófico"),AND(Z105="Improbable",AB105="Catastrófico"),AND(Z105="Posible",AB105="Catastrófico"),AND(Z105="Probable",AB105="Catastrófico"),AND(Z105="Casi Seguro",AB105="Catastrófico")),"Extremo","")))),"")</f>
        <v>Alto</v>
      </c>
      <c r="AE105" s="170"/>
      <c r="AF105" s="132"/>
      <c r="AG105" s="194"/>
      <c r="AH105" s="195"/>
      <c r="AI105" s="176"/>
      <c r="AJ105" s="181"/>
      <c r="AK105" s="522"/>
      <c r="AL105" s="535"/>
      <c r="AM105" s="535"/>
      <c r="AN105" s="535"/>
      <c r="AO105" s="535"/>
      <c r="AP105" s="535"/>
      <c r="AQ105" s="535"/>
      <c r="AR105" s="535"/>
      <c r="AS105" s="158"/>
      <c r="AT105" s="158"/>
      <c r="AU105" s="158"/>
      <c r="AV105" s="158"/>
      <c r="AW105" s="158"/>
      <c r="AX105" s="158"/>
      <c r="AY105" s="158"/>
      <c r="AZ105" s="158"/>
      <c r="BA105" s="158"/>
      <c r="BB105" s="158"/>
      <c r="BC105" s="158"/>
      <c r="BD105" s="158"/>
      <c r="BE105" s="158"/>
      <c r="BF105" s="158"/>
      <c r="BG105" s="158"/>
      <c r="BH105" s="158"/>
      <c r="BI105" s="158"/>
      <c r="BJ105" s="158"/>
    </row>
    <row r="106" spans="2:62" ht="53.25" customHeight="1" x14ac:dyDescent="0.2">
      <c r="B106" s="314"/>
      <c r="C106" s="316"/>
      <c r="D106" s="317"/>
      <c r="E106" s="313"/>
      <c r="F106" s="313"/>
      <c r="G106" s="304"/>
      <c r="H106" s="305"/>
      <c r="I106" s="306"/>
      <c r="J106" s="307"/>
      <c r="K106" s="308"/>
      <c r="L106" s="307">
        <f>IF(NOT(ISERROR(MATCH(K106,_xlfn.ANCHORARRAY(G348),0))),J350&amp;"Por favor no seleccionar los criterios de impacto",K106)</f>
        <v>0</v>
      </c>
      <c r="M106" s="306"/>
      <c r="N106" s="307"/>
      <c r="O106" s="309"/>
      <c r="P106" s="168">
        <v>3</v>
      </c>
      <c r="Q106" s="129" t="s">
        <v>280</v>
      </c>
      <c r="R106" s="169" t="s">
        <v>118</v>
      </c>
      <c r="S106" s="170" t="s">
        <v>112</v>
      </c>
      <c r="T106" s="170" t="s">
        <v>113</v>
      </c>
      <c r="U106" s="171" t="str">
        <f t="shared" si="171"/>
        <v>40%</v>
      </c>
      <c r="V106" s="170" t="s">
        <v>114</v>
      </c>
      <c r="W106" s="170" t="s">
        <v>115</v>
      </c>
      <c r="X106" s="170" t="s">
        <v>134</v>
      </c>
      <c r="Y106" s="172">
        <f>IFERROR(IF(AND(R105="Probabilidad",R106="Probabilidad"),(AA105-(+AA105*U106)),IF(AND(R105="Impacto",R106="Probabilidad"),(AA104-(+AA104*U106)),IF(R106="Impacto",AA105,""))),"")</f>
        <v>0.1512</v>
      </c>
      <c r="Z106" s="173" t="str">
        <f t="shared" si="172"/>
        <v>Rara vez</v>
      </c>
      <c r="AA106" s="171">
        <f t="shared" si="173"/>
        <v>0.1512</v>
      </c>
      <c r="AB106" s="173" t="str">
        <f t="shared" si="174"/>
        <v>Mayor</v>
      </c>
      <c r="AC106" s="171">
        <f>IFERROR(IF(AND(R105="Impacto",R106="Impacto"),(AC105-(+AC105*U106)),IF(AND(R105="Probabilidad",R106="Impacto"),(AC104-(+AC104*U106)),IF(R106="Probabilidad",AC105,""))),"")</f>
        <v>0.8</v>
      </c>
      <c r="AD106" s="174" t="str">
        <f>IFERROR(IF(OR(AND(Z106="Rara vez",AB106="Leve"),AND(Z106="Rara vez",AB106="Menor"),AND(Z106="Improbable",AB106="Leve")),"Bajo",IF(OR(AND(Z106="Rara vez",AB106="Moderado"),AND(Z106="Improbable",AB106="Menor"),AND(Z106="Improbable",AB106="Moderado"),AND(Z106="Posible",AB106="Leve"),AND(Z106="Posible",AB106="Menor"),AND(Z106="Posible",AB106="Moderado"),AND(Z106="Probable",AB106="Leve"),AND(Z106="Probable",AB106="Menor")),"Moderado",IF(OR(AND(Z106="Rara vez",AB106="Mayor"),AND(Z106="Improbable",AB106="Mayor"),AND(Z106="Posible",AB106="Mayor"),AND(Z106="Probable",AB106="Moderado"),AND(Z106="Probable",AB106="Mayor"),AND(Z106="Casi Seguro",AB106="Leve"),AND(Z106="Casi Seguro",AB106="Menor"),AND(Z106="Casi Seguro",AB106="Moderado"),AND(Z106="Casi Seguro",AB106="Mayor")),"Alto",IF(OR(AND(Z106="Rara vez",AB106="Catastrófico"),AND(Z106="Improbable",AB106="Catastrófico"),AND(Z106="Posible",AB106="Catastrófico"),AND(Z106="Probable",AB106="Catastrófico"),AND(Z106="Casi Seguro",AB106="Catastrófico")),"Extremo","")))),"")</f>
        <v>Alto</v>
      </c>
      <c r="AE106" s="196"/>
      <c r="AF106" s="184"/>
      <c r="AG106" s="185"/>
      <c r="AH106" s="186"/>
      <c r="AI106" s="187"/>
      <c r="AJ106" s="188"/>
      <c r="AK106" s="523"/>
      <c r="AL106" s="535"/>
      <c r="AM106" s="535"/>
      <c r="AN106" s="535"/>
      <c r="AO106" s="535"/>
      <c r="AP106" s="535"/>
      <c r="AQ106" s="535"/>
      <c r="AR106" s="535"/>
      <c r="AS106" s="158"/>
      <c r="AT106" s="158"/>
      <c r="AU106" s="158"/>
      <c r="AV106" s="158"/>
      <c r="AW106" s="158"/>
      <c r="AX106" s="158"/>
      <c r="AY106" s="158"/>
      <c r="AZ106" s="158"/>
      <c r="BA106" s="158"/>
      <c r="BB106" s="158"/>
      <c r="BC106" s="158"/>
      <c r="BD106" s="158"/>
      <c r="BE106" s="158"/>
      <c r="BF106" s="158"/>
      <c r="BG106" s="158"/>
      <c r="BH106" s="158"/>
      <c r="BI106" s="158"/>
      <c r="BJ106" s="158"/>
    </row>
    <row r="107" spans="2:62" ht="76.5" x14ac:dyDescent="0.2">
      <c r="B107" s="314"/>
      <c r="C107" s="316"/>
      <c r="D107" s="317"/>
      <c r="E107" s="313"/>
      <c r="F107" s="313"/>
      <c r="G107" s="304"/>
      <c r="H107" s="305"/>
      <c r="I107" s="306"/>
      <c r="J107" s="307"/>
      <c r="K107" s="308"/>
      <c r="L107" s="307">
        <f>IF(NOT(ISERROR(MATCH(K107,_xlfn.ANCHORARRAY(G349),0))),J351&amp;"Por favor no seleccionar los criterios de impacto",K107)</f>
        <v>0</v>
      </c>
      <c r="M107" s="306"/>
      <c r="N107" s="307"/>
      <c r="O107" s="309"/>
      <c r="P107" s="168">
        <v>4</v>
      </c>
      <c r="Q107" s="129" t="s">
        <v>281</v>
      </c>
      <c r="R107" s="169" t="s">
        <v>136</v>
      </c>
      <c r="S107" s="182" t="s">
        <v>137</v>
      </c>
      <c r="T107" s="170" t="s">
        <v>113</v>
      </c>
      <c r="U107" s="171" t="str">
        <f t="shared" si="171"/>
        <v>25%</v>
      </c>
      <c r="V107" s="170" t="s">
        <v>114</v>
      </c>
      <c r="W107" s="170" t="s">
        <v>115</v>
      </c>
      <c r="X107" s="170" t="s">
        <v>134</v>
      </c>
      <c r="Y107" s="172">
        <f t="shared" ref="Y107:Y109" si="175">IFERROR(IF(AND(R106="Probabilidad",R107="Probabilidad"),(AA106-(+AA106*U107)),IF(AND(R106="Impacto",R107="Probabilidad"),(AA105-(+AA105*U107)),IF(R107="Impacto",AA106,""))),"")</f>
        <v>0.1512</v>
      </c>
      <c r="Z107" s="197" t="s">
        <v>156</v>
      </c>
      <c r="AA107" s="171">
        <f t="shared" si="173"/>
        <v>0.1512</v>
      </c>
      <c r="AB107" s="173" t="str">
        <f t="shared" ref="AB107" si="176">IFERROR(IF(AC107="","",IF(AC107&lt;=0.2,"Leve",IF(AC107&lt;=0.4,"Menor",IF(AC107&lt;=0.6,"Moderado",IF(AC107&lt;=0.8,"Mayor","Catastrófico"))))),"")</f>
        <v>Moderado</v>
      </c>
      <c r="AC107" s="171">
        <f t="shared" ref="AC107:AC109" si="177">IFERROR(IF(AND(R106="Impacto",R107="Impacto"),(AC106-(+AC106*U107)),IF(AND(R106="Probabilidad",R107="Impacto"),(AC105-(+AC105*U107)),IF(R107="Probabilidad",AC106,""))),"")</f>
        <v>0.60000000000000009</v>
      </c>
      <c r="AD107" s="174" t="str">
        <f>IFERROR(IF(OR(AND(Z107="Rara vez",AB107="Leve"),AND(Z107="Rara vez",AB107="Menor"),AND(Z107="Improbable",AB107="Leve")),"Bajo",IF(OR(AND(Z107="Rara vez",AB107="Moderado"),AND(Z107="Improbable",AB107="Menor"),AND(Z107="Improbable",AB107="Moderado"),AND(Z107="Posible",AB107="Leve"),AND(Z107="Posible",AB107="Menor"),AND(Z107="Posible",AB107="Moderado"),AND(Z107="Probable",AB107="Leve"),AND(Z107="Probable",AB107="Menor")),"Moderado",IF(OR(AND(Z107="Rara vez",AB107="Mayor"),AND(Z107="Improbable",AB107="Mayor"),AND(Z107="Posible",AB107="Mayor"),AND(Z107="Probable",AB107="Moderado"),AND(Z107="Probable",AB107="Mayor"),AND(Z107="Casi Seguro",AB107="Leve"),AND(Z107="Casi Seguro",AB107="Menor"),AND(Z107="Casi Seguro",AB107="Moderado"),AND(Z107="Casi Seguro",AB107="Mayor")),"Alto",IF(OR(AND(Z107="Rara vez",AB107="Catastrófico"),AND(Z107="Improbable",AB107="Catastrófico"),AND(Z107="Posible",AB107="Catastrófico"),AND(Z107="Probable",AB107="Catastrófico"),AND(Z107="Casi Seguro",AB107="Catastrófico")),"Extremo","")))),"")</f>
        <v>Moderado</v>
      </c>
      <c r="AE107" s="170" t="s">
        <v>120</v>
      </c>
      <c r="AF107" s="136" t="s">
        <v>282</v>
      </c>
      <c r="AG107" s="203" t="s">
        <v>283</v>
      </c>
      <c r="AH107" s="202">
        <v>46022</v>
      </c>
      <c r="AI107" s="136"/>
      <c r="AJ107" s="200"/>
      <c r="AK107" s="524" t="s">
        <v>123</v>
      </c>
      <c r="AL107" s="535"/>
      <c r="AM107" s="535"/>
      <c r="AN107" s="535"/>
      <c r="AO107" s="535"/>
      <c r="AP107" s="535"/>
      <c r="AQ107" s="535"/>
      <c r="AR107" s="535"/>
      <c r="AS107" s="158"/>
      <c r="AT107" s="158"/>
      <c r="AU107" s="158"/>
      <c r="AV107" s="158"/>
      <c r="AW107" s="158"/>
      <c r="AX107" s="158"/>
      <c r="AY107" s="158"/>
      <c r="AZ107" s="158"/>
      <c r="BA107" s="158"/>
      <c r="BB107" s="158"/>
      <c r="BC107" s="158"/>
      <c r="BD107" s="158"/>
      <c r="BE107" s="158"/>
      <c r="BF107" s="158"/>
      <c r="BG107" s="158"/>
      <c r="BH107" s="158"/>
      <c r="BI107" s="158"/>
      <c r="BJ107" s="158"/>
    </row>
    <row r="108" spans="2:62" ht="6" customHeight="1" x14ac:dyDescent="0.2">
      <c r="B108" s="314"/>
      <c r="C108" s="316"/>
      <c r="D108" s="317"/>
      <c r="E108" s="313"/>
      <c r="F108" s="313"/>
      <c r="G108" s="304"/>
      <c r="H108" s="305"/>
      <c r="I108" s="306"/>
      <c r="J108" s="307"/>
      <c r="K108" s="308"/>
      <c r="L108" s="307">
        <f>IF(NOT(ISERROR(MATCH(K108,_xlfn.ANCHORARRAY(G350),0))),J352&amp;"Por favor no seleccionar los criterios de impacto",K108)</f>
        <v>0</v>
      </c>
      <c r="M108" s="306"/>
      <c r="N108" s="307"/>
      <c r="O108" s="309"/>
      <c r="P108" s="168">
        <v>5</v>
      </c>
      <c r="Q108" s="127"/>
      <c r="R108" s="169" t="str">
        <f t="shared" ref="R108:R109" si="178">IF(OR(S108="Preventivo",S108="Detectivo"),"Probabilidad",IF(S108="Correctivo","Impacto",""))</f>
        <v/>
      </c>
      <c r="S108" s="170"/>
      <c r="T108" s="170"/>
      <c r="U108" s="171" t="str">
        <f t="shared" si="171"/>
        <v/>
      </c>
      <c r="V108" s="170"/>
      <c r="W108" s="170"/>
      <c r="X108" s="170"/>
      <c r="Y108" s="172" t="str">
        <f t="shared" si="175"/>
        <v/>
      </c>
      <c r="Z108" s="173" t="str">
        <f t="shared" ref="Z108:Z109" si="179">IFERROR(IF(Y108="","",IF(Y108&lt;=0.2,"Rara vez",IF(Y108&lt;=0.4,"Improbable",IF(Y108&lt;=0.6,"Posible",IF(Y108&lt;=0.8,"Probable","Casi Seguro"))))),"")</f>
        <v/>
      </c>
      <c r="AA108" s="171" t="str">
        <f t="shared" si="173"/>
        <v/>
      </c>
      <c r="AB108" s="173" t="str">
        <f t="shared" ref="AB108:AB109" si="180">IFERROR(IF(AC108="","",IF(AC108&lt;=0.6,"Moderado",IF(AC108&lt;=0.8,"Mayor","Catastrófico"))),"")</f>
        <v/>
      </c>
      <c r="AC108" s="171" t="str">
        <f t="shared" si="177"/>
        <v/>
      </c>
      <c r="AD108" s="174" t="str">
        <f t="shared" ref="AD108:AD109" si="181">IFERROR(IF(OR(AND(Z108="Muy Baja",AB108="Leve"),AND(Z108="Muy Baja",AB108="Menor"),AND(Z108="Baja",AB108="Leve")),"Bajo",IF(OR(AND(Z108="Muy baja",AB108="Moderado"),AND(Z108="Baja",AB108="Menor"),AND(Z108="Baja",AB108="Moderado"),AND(Z108="Media",AB108="Leve"),AND(Z108="Media",AB108="Menor"),AND(Z108="Media",AB108="Moderado"),AND(Z108="Alta",AB108="Leve"),AND(Z108="Alta",AB108="Menor")),"Moderado",IF(OR(AND(Z108="Muy Baja",AB108="Mayor"),AND(Z108="Baja",AB108="Mayor"),AND(Z108="Media",AB108="Mayor"),AND(Z108="Alta",AB108="Moderado"),AND(Z108="Alta",AB108="Mayor"),AND(Z108="Muy Alta",AB108="Leve"),AND(Z108="Muy Alta",AB108="Menor"),AND(Z108="Muy Alta",AB108="Moderado"),AND(Z108="Muy Alta",AB108="Mayor")),"Alto",IF(OR(AND(Z108="Muy Baja",AB108="Catastrófico"),AND(Z108="Baja",AB108="Catastrófico"),AND(Z108="Media",AB108="Catastrófico"),AND(Z108="Alta",AB108="Catastrófico"),AND(Z108="Muy Alta",AB108="Catastrófico")),"Extremo","")))),"")</f>
        <v/>
      </c>
      <c r="AE108" s="179"/>
      <c r="AF108" s="192"/>
      <c r="AG108" s="193"/>
      <c r="AH108" s="176"/>
      <c r="AI108" s="176"/>
      <c r="AJ108" s="177"/>
      <c r="AK108" s="522"/>
      <c r="AL108" s="535"/>
      <c r="AM108" s="535"/>
      <c r="AN108" s="535"/>
      <c r="AO108" s="535"/>
      <c r="AP108" s="535"/>
      <c r="AQ108" s="535"/>
      <c r="AR108" s="535"/>
      <c r="AS108" s="158"/>
      <c r="AT108" s="158"/>
      <c r="AU108" s="158"/>
      <c r="AV108" s="158"/>
      <c r="AW108" s="158"/>
      <c r="AX108" s="158"/>
      <c r="AY108" s="158"/>
      <c r="AZ108" s="158"/>
      <c r="BA108" s="158"/>
      <c r="BB108" s="158"/>
      <c r="BC108" s="158"/>
      <c r="BD108" s="158"/>
      <c r="BE108" s="158"/>
      <c r="BF108" s="158"/>
      <c r="BG108" s="158"/>
      <c r="BH108" s="158"/>
      <c r="BI108" s="158"/>
      <c r="BJ108" s="158"/>
    </row>
    <row r="109" spans="2:62" ht="9" customHeight="1" x14ac:dyDescent="0.2">
      <c r="B109" s="314"/>
      <c r="C109" s="320"/>
      <c r="D109" s="317"/>
      <c r="E109" s="313"/>
      <c r="F109" s="313"/>
      <c r="G109" s="304"/>
      <c r="H109" s="305"/>
      <c r="I109" s="306"/>
      <c r="J109" s="307"/>
      <c r="K109" s="308"/>
      <c r="L109" s="307">
        <f>IF(NOT(ISERROR(MATCH(K109,_xlfn.ANCHORARRAY(G351),0))),J353&amp;"Por favor no seleccionar los criterios de impacto",K109)</f>
        <v>0</v>
      </c>
      <c r="M109" s="306"/>
      <c r="N109" s="307"/>
      <c r="O109" s="309"/>
      <c r="P109" s="168">
        <v>6</v>
      </c>
      <c r="Q109" s="127"/>
      <c r="R109" s="169" t="str">
        <f t="shared" si="178"/>
        <v/>
      </c>
      <c r="S109" s="170"/>
      <c r="T109" s="170"/>
      <c r="U109" s="171" t="str">
        <f t="shared" si="171"/>
        <v/>
      </c>
      <c r="V109" s="170"/>
      <c r="W109" s="170"/>
      <c r="X109" s="170"/>
      <c r="Y109" s="172" t="str">
        <f t="shared" si="175"/>
        <v/>
      </c>
      <c r="Z109" s="173" t="str">
        <f t="shared" si="179"/>
        <v/>
      </c>
      <c r="AA109" s="171" t="str">
        <f t="shared" si="173"/>
        <v/>
      </c>
      <c r="AB109" s="173" t="str">
        <f t="shared" si="180"/>
        <v/>
      </c>
      <c r="AC109" s="171" t="str">
        <f t="shared" si="177"/>
        <v/>
      </c>
      <c r="AD109" s="174" t="str">
        <f t="shared" si="181"/>
        <v/>
      </c>
      <c r="AE109" s="179"/>
      <c r="AF109" s="192"/>
      <c r="AG109" s="193"/>
      <c r="AH109" s="176"/>
      <c r="AI109" s="176"/>
      <c r="AJ109" s="177"/>
      <c r="AK109" s="522"/>
      <c r="AL109" s="535"/>
      <c r="AM109" s="535"/>
      <c r="AN109" s="535"/>
      <c r="AO109" s="535"/>
      <c r="AP109" s="535"/>
      <c r="AQ109" s="535"/>
      <c r="AR109" s="535"/>
      <c r="AS109" s="158"/>
      <c r="AT109" s="158"/>
      <c r="AU109" s="158"/>
      <c r="AV109" s="158"/>
      <c r="AW109" s="158"/>
      <c r="AX109" s="158"/>
      <c r="AY109" s="158"/>
      <c r="AZ109" s="158"/>
      <c r="BA109" s="158"/>
      <c r="BB109" s="158"/>
      <c r="BC109" s="158"/>
      <c r="BD109" s="158"/>
      <c r="BE109" s="158"/>
      <c r="BF109" s="158"/>
      <c r="BG109" s="158"/>
      <c r="BH109" s="158"/>
      <c r="BI109" s="158"/>
      <c r="BJ109" s="158"/>
    </row>
    <row r="110" spans="2:62" s="163" customFormat="1" ht="65.25" x14ac:dyDescent="0.25">
      <c r="B110" s="314" t="s">
        <v>284</v>
      </c>
      <c r="C110" s="315" t="s">
        <v>274</v>
      </c>
      <c r="D110" s="317" t="s">
        <v>285</v>
      </c>
      <c r="E110" s="313" t="s">
        <v>106</v>
      </c>
      <c r="F110" s="313" t="s">
        <v>286</v>
      </c>
      <c r="G110" s="304" t="s">
        <v>287</v>
      </c>
      <c r="H110" s="305" t="s">
        <v>109</v>
      </c>
      <c r="I110" s="306" t="str">
        <f>IF(H110&lt;=0,"",IF(H110="No se ha presentado en los últimos 5 años","Rara vez",IF(H110="Al menos 1 vez en los últimos 5 años","Improbable",IF(H110="Al menos 1 vez en los últimos 2 años","Posible",IF(H110="Al menos 1 vez en el último año","Probable",IF(H110="Más de 1 vez al año","Casi Seguro"))))))</f>
        <v>Rara vez</v>
      </c>
      <c r="J110" s="307">
        <f>IF(I110="","",IF(I110="Rara vez",0.2,IF(I110="Improbable",0.4,IF(I110="Posible",0.6,IF(I110="Probable",0.8,IF(I110="Casi Seguro",1,))))))</f>
        <v>0.2</v>
      </c>
      <c r="K110" s="308" t="s">
        <v>131</v>
      </c>
      <c r="L110" s="307" t="str">
        <f>IF(NOT(ISERROR(MATCH(K110,'Tabla Impacto'!$B$220:$B$222,0))),'Tabla Impacto'!$F$222&amp;"Por favor no seleccionar los criterios de impacto(Criterios para calificar el impacto)",K110)</f>
        <v xml:space="preserve">Responder afirmativamente de DOCE a DIECINUEVE </v>
      </c>
      <c r="M110" s="306" t="str">
        <f>IF(OR(L110='Tabla Impacto'!$C$5),"Moderado",IF(OR(L110='Tabla Impacto'!$C$6),"Mayor",IF(OR(L110='Tabla Impacto'!$C$7),"Catastrófico","")))</f>
        <v>Catastrófico</v>
      </c>
      <c r="N110" s="307">
        <f>IF(M110="","",IF(M110="Leve",0.2,IF(M110="Menor",0.4,IF(M110="Moderado",0.6,IF(M110="Mayor",0.8,IF(M110="Catastrófico",1,))))))</f>
        <v>1</v>
      </c>
      <c r="O110" s="309" t="str">
        <f>IF(OR(AND(I110="Rara vez",M110="Leve"),AND(I110="Rara vez",M110="Menor"),AND(I110="Improbable",M110="Leve")),"Bajo",IF(OR(AND(I110="Rara vez",M110="Moderado"),AND(I110="Improbable",M110="Menor"),AND(I110="Improbable",M110="Moderado"),AND(I110="Posible",M110="Leve"),AND(I110="Posible",M110="Menor"),AND(I110="Posible",M110="Moderado"),AND(I110="Probable",M110="Leve"),AND(I110="Probable",M110="Menor")),"Moderado",IF(OR(AND(I110="Rara vez",M110="Mayor"),AND(I110="Improbable",M110="Mayor"),AND(I110="Posible",M110="Mayor"),AND(I110="Probable",M110="Moderado"),AND(I110="Probable",M110="Mayor"),AND(I110="Casi Seguro",M110="Leve"),AND(I110="Casi Seguro",M110="Menor"),AND(I110="Casi Seguro",M110="Moderado"),AND(I110="Casi Seguro",M110="Mayor")),"Alto",IF(OR(AND(I110="Rara vez",M110="Catastrófico"),AND(I110="Improbable",M110="Catastrófico"),AND(I110="Posible",M110="Catastrófico"),AND(I110="Probable",M110="Catastrófico"),AND(I110="Casi Seguro",M110="Catastrófico")),"Extremo",""))))</f>
        <v>Extremo</v>
      </c>
      <c r="P110" s="168">
        <v>1</v>
      </c>
      <c r="Q110" s="135" t="s">
        <v>288</v>
      </c>
      <c r="R110" s="169" t="str">
        <f>IF(OR(S110="Preventivo",S110="Detectivo"),"Probabilidad",IF(S110="Correctivo","Impacto",""))</f>
        <v>Probabilidad</v>
      </c>
      <c r="S110" s="170" t="s">
        <v>112</v>
      </c>
      <c r="T110" s="170" t="s">
        <v>113</v>
      </c>
      <c r="U110" s="171" t="str">
        <f>IF(AND(S110="Preventivo",T110="Automático"),"50%",IF(AND(S110="Preventivo",T110="Manual"),"40%",IF(AND(S110="Detectivo",T110="Automático"),"40%",IF(AND(S110="Detectivo",T110="Manual"),"30%",IF(AND(S110="Correctivo",T110="Automático"),"35%",IF(AND(S110="Correctivo",T110="Manual"),"25%",""))))))</f>
        <v>40%</v>
      </c>
      <c r="V110" s="170" t="s">
        <v>119</v>
      </c>
      <c r="W110" s="170" t="s">
        <v>115</v>
      </c>
      <c r="X110" s="170" t="s">
        <v>134</v>
      </c>
      <c r="Y110" s="172">
        <f>IFERROR(IF(R110="Probabilidad",(J110-(+J110*U110)),IF(R110="Impacto",J110,"")),"")</f>
        <v>0.12</v>
      </c>
      <c r="Z110" s="173" t="str">
        <f>IFERROR(IF(Y110="","",IF(Y110&lt;=0.2,"Rara vez",IF(Y110&lt;=0.4,"Improbable",IF(Y110&lt;=0.6,"Posible",IF(Y110&lt;=0.8,"Probable","Casi Seguro"))))),"")</f>
        <v>Rara vez</v>
      </c>
      <c r="AA110" s="171">
        <f>+Y110</f>
        <v>0.12</v>
      </c>
      <c r="AB110" s="173" t="str">
        <f>IFERROR(IF(AC110="","",IF(AC110&lt;=0.6,"Moderado",IF(AC110&lt;=0.8,"Mayor","Catastrófico"))),"")</f>
        <v>Catastrófico</v>
      </c>
      <c r="AC110" s="171">
        <f>IFERROR(IF(R110="Impacto",(N110-(+N110*U110)),IF(R110="Probabilidad",N110,"")),"")</f>
        <v>1</v>
      </c>
      <c r="AD110" s="174" t="str">
        <f>IFERROR(IF(OR(AND(Z110="Rara vez",AB110="Leve"),AND(Z110="Rara vez",AB110="Menor"),AND(Z110="Improbable",AB110="Leve")),"Bajo",IF(OR(AND(Z110="Rara vez",AB110="Moderado"),AND(Z110="Improbable",AB110="Menor"),AND(Z110="Improbable",AB110="Moderado"),AND(Z110="Posible",AB110="Leve"),AND(Z110="Posible",AB110="Menor"),AND(Z110="Posible",AB110="Moderado"),AND(Z110="Probable",AB110="Leve"),AND(Z110="Probable",AB110="Menor")),"Moderado",IF(OR(AND(Z110="Rara vez",AB110="Mayor"),AND(Z110="Improbable",AB110="Mayor"),AND(Z110="Posible",AB110="Mayor"),AND(Z110="Probable",AB110="Moderado"),AND(Z110="Probable",AB110="Mayor"),AND(Z110="Casi Seguro",AB110="Leve"),AND(Z110="Casi Seguro",AB110="Menor"),AND(Z110="Casi Seguro",AB110="Moderado"),AND(Z110="Casi Seguro",AB110="Mayor")),"Alto",IF(OR(AND(Z110="Rara vez",AB110="Catastrófico"),AND(Z110="Improbable",AB110="Catastrófico"),AND(Z110="Posible",AB110="Catastrófico"),AND(Z110="Probable",AB110="Catastrófico"),AND(Z110="Casi Seguro",AB110="Catastrófico")),"Extremo","")))),"")</f>
        <v>Extremo</v>
      </c>
      <c r="AE110" s="170"/>
      <c r="AF110" s="123"/>
      <c r="AG110" s="123"/>
      <c r="AH110" s="175"/>
      <c r="AI110" s="176"/>
      <c r="AJ110" s="177"/>
      <c r="AK110" s="522"/>
      <c r="AL110" s="534"/>
      <c r="AM110" s="534"/>
      <c r="AN110" s="534"/>
      <c r="AO110" s="534"/>
      <c r="AP110" s="534"/>
      <c r="AQ110" s="534"/>
      <c r="AR110" s="534"/>
      <c r="AS110" s="178"/>
      <c r="AT110" s="178"/>
      <c r="AU110" s="178"/>
      <c r="AV110" s="178"/>
      <c r="AW110" s="178"/>
      <c r="AX110" s="178"/>
      <c r="AY110" s="178"/>
      <c r="AZ110" s="178"/>
      <c r="BA110" s="178"/>
      <c r="BB110" s="178"/>
      <c r="BC110" s="178"/>
      <c r="BD110" s="178"/>
      <c r="BE110" s="178"/>
      <c r="BF110" s="178"/>
      <c r="BG110" s="178"/>
      <c r="BH110" s="178"/>
      <c r="BI110" s="178"/>
      <c r="BJ110" s="178"/>
    </row>
    <row r="111" spans="2:62" ht="76.5" customHeight="1" x14ac:dyDescent="0.2">
      <c r="B111" s="314"/>
      <c r="C111" s="316"/>
      <c r="D111" s="317"/>
      <c r="E111" s="313"/>
      <c r="F111" s="313"/>
      <c r="G111" s="304"/>
      <c r="H111" s="305"/>
      <c r="I111" s="306"/>
      <c r="J111" s="307"/>
      <c r="K111" s="308"/>
      <c r="L111" s="307">
        <f>IF(NOT(ISERROR(MATCH(K111,_xlfn.ANCHORARRAY(G353),0))),J355&amp;"Por favor no seleccionar los criterios de impacto",K111)</f>
        <v>0</v>
      </c>
      <c r="M111" s="306"/>
      <c r="N111" s="307"/>
      <c r="O111" s="309"/>
      <c r="P111" s="168">
        <v>2</v>
      </c>
      <c r="Q111" s="135" t="s">
        <v>289</v>
      </c>
      <c r="R111" s="169" t="str">
        <f>IF(OR(S111="Preventivo",S111="Detectivo"),"Probabilidad",IF(S111="Correctivo","Impacto",""))</f>
        <v>Probabilidad</v>
      </c>
      <c r="S111" s="170" t="s">
        <v>133</v>
      </c>
      <c r="T111" s="170" t="s">
        <v>113</v>
      </c>
      <c r="U111" s="171" t="str">
        <f t="shared" ref="U111:U115" si="182">IF(AND(S111="Preventivo",T111="Automático"),"50%",IF(AND(S111="Preventivo",T111="Manual"),"40%",IF(AND(S111="Detectivo",T111="Automático"),"40%",IF(AND(S111="Detectivo",T111="Manual"),"30%",IF(AND(S111="Correctivo",T111="Automático"),"35%",IF(AND(S111="Correctivo",T111="Manual"),"25%",""))))))</f>
        <v>30%</v>
      </c>
      <c r="V111" s="170" t="s">
        <v>119</v>
      </c>
      <c r="W111" s="170" t="s">
        <v>115</v>
      </c>
      <c r="X111" s="170" t="s">
        <v>134</v>
      </c>
      <c r="Y111" s="172">
        <f>IFERROR(IF(AND(R110="Probabilidad",R111="Probabilidad"),(AA110-(+AA110*U111)),IF(R111="Probabilidad",(J110-(+J110*U111)),IF(R111="Impacto",AA110,""))),"")</f>
        <v>8.3999999999999991E-2</v>
      </c>
      <c r="Z111" s="173" t="str">
        <f t="shared" ref="Z111:Z112" si="183">IFERROR(IF(Y111="","",IF(Y111&lt;=0.2,"Rara vez",IF(Y111&lt;=0.4,"Improbable",IF(Y111&lt;=0.6,"Posible",IF(Y111&lt;=0.8,"Probable","Casi Seguro"))))),"")</f>
        <v>Rara vez</v>
      </c>
      <c r="AA111" s="171">
        <f t="shared" ref="AA111:AA115" si="184">+Y111</f>
        <v>8.3999999999999991E-2</v>
      </c>
      <c r="AB111" s="173" t="str">
        <f t="shared" ref="AB111:AB112" si="185">IFERROR(IF(AC111="","",IF(AC111&lt;=0.6,"Moderado",IF(AC111&lt;=0.8,"Mayor","Catastrófico"))),"")</f>
        <v>Catastrófico</v>
      </c>
      <c r="AC111" s="171">
        <f>IFERROR(IF(AND(R110="Impacto",R111="Impacto"),(AC110-(+AC110*U111)),IF(R111="Impacto",(N110-(+N110*U111)),IF(R111="Probabilidad",AC110,""))),"")</f>
        <v>1</v>
      </c>
      <c r="AD111" s="174" t="str">
        <f>IFERROR(IF(OR(AND(Z111="Rara vez",AB111="Leve"),AND(Z111="Rara vez",AB111="Menor"),AND(Z111="Improbable",AB111="Leve")),"Bajo",IF(OR(AND(Z111="Rara vez",AB111="Moderado"),AND(Z111="Improbable",AB111="Menor"),AND(Z111="Improbable",AB111="Moderado"),AND(Z111="Posible",AB111="Leve"),AND(Z111="Posible",AB111="Menor"),AND(Z111="Posible",AB111="Moderado"),AND(Z111="Probable",AB111="Leve"),AND(Z111="Probable",AB111="Menor")),"Moderado",IF(OR(AND(Z111="Rara vez",AB111="Mayor"),AND(Z111="Improbable",AB111="Mayor"),AND(Z111="Posible",AB111="Mayor"),AND(Z111="Probable",AB111="Moderado"),AND(Z111="Probable",AB111="Mayor"),AND(Z111="Casi Seguro",AB111="Leve"),AND(Z111="Casi Seguro",AB111="Menor"),AND(Z111="Casi Seguro",AB111="Moderado"),AND(Z111="Casi Seguro",AB111="Mayor")),"Alto",IF(OR(AND(Z111="Rara vez",AB111="Catastrófico"),AND(Z111="Improbable",AB111="Catastrófico"),AND(Z111="Posible",AB111="Catastrófico"),AND(Z111="Probable",AB111="Catastrófico"),AND(Z111="Casi Seguro",AB111="Catastrófico")),"Extremo","")))),"")</f>
        <v>Extremo</v>
      </c>
      <c r="AE111" s="170"/>
      <c r="AF111" s="132"/>
      <c r="AG111" s="194"/>
      <c r="AH111" s="195"/>
      <c r="AI111" s="176"/>
      <c r="AJ111" s="181"/>
      <c r="AK111" s="522"/>
      <c r="AL111" s="535"/>
      <c r="AM111" s="535"/>
      <c r="AN111" s="535"/>
      <c r="AO111" s="535"/>
      <c r="AP111" s="535"/>
      <c r="AQ111" s="535"/>
      <c r="AR111" s="535"/>
      <c r="AS111" s="158"/>
      <c r="AT111" s="158"/>
      <c r="AU111" s="158"/>
      <c r="AV111" s="158"/>
      <c r="AW111" s="158"/>
      <c r="AX111" s="158"/>
      <c r="AY111" s="158"/>
      <c r="AZ111" s="158"/>
      <c r="BA111" s="158"/>
      <c r="BB111" s="158"/>
      <c r="BC111" s="158"/>
      <c r="BD111" s="158"/>
      <c r="BE111" s="158"/>
      <c r="BF111" s="158"/>
      <c r="BG111" s="158"/>
      <c r="BH111" s="158"/>
      <c r="BI111" s="158"/>
      <c r="BJ111" s="158"/>
    </row>
    <row r="112" spans="2:62" ht="53.25" customHeight="1" x14ac:dyDescent="0.2">
      <c r="B112" s="314"/>
      <c r="C112" s="316"/>
      <c r="D112" s="317"/>
      <c r="E112" s="313"/>
      <c r="F112" s="313"/>
      <c r="G112" s="304"/>
      <c r="H112" s="305"/>
      <c r="I112" s="306"/>
      <c r="J112" s="307"/>
      <c r="K112" s="308"/>
      <c r="L112" s="307">
        <f>IF(NOT(ISERROR(MATCH(K112,_xlfn.ANCHORARRAY(G354),0))),J356&amp;"Por favor no seleccionar los criterios de impacto",K112)</f>
        <v>0</v>
      </c>
      <c r="M112" s="306"/>
      <c r="N112" s="307"/>
      <c r="O112" s="309"/>
      <c r="P112" s="168">
        <v>3</v>
      </c>
      <c r="Q112" s="135" t="s">
        <v>290</v>
      </c>
      <c r="R112" s="169" t="s">
        <v>118</v>
      </c>
      <c r="S112" s="170" t="s">
        <v>133</v>
      </c>
      <c r="T112" s="170" t="s">
        <v>206</v>
      </c>
      <c r="U112" s="171" t="str">
        <f t="shared" si="182"/>
        <v>40%</v>
      </c>
      <c r="V112" s="170" t="s">
        <v>114</v>
      </c>
      <c r="W112" s="170" t="s">
        <v>115</v>
      </c>
      <c r="X112" s="170" t="s">
        <v>116</v>
      </c>
      <c r="Y112" s="172">
        <f>IFERROR(IF(AND(R111="Probabilidad",R112="Probabilidad"),(AA111-(+AA111*U112)),IF(AND(R111="Impacto",R112="Probabilidad"),(AA110-(+AA110*U112)),IF(R112="Impacto",AA111,""))),"")</f>
        <v>5.0399999999999993E-2</v>
      </c>
      <c r="Z112" s="173" t="str">
        <f t="shared" si="183"/>
        <v>Rara vez</v>
      </c>
      <c r="AA112" s="171">
        <f t="shared" si="184"/>
        <v>5.0399999999999993E-2</v>
      </c>
      <c r="AB112" s="173" t="str">
        <f t="shared" si="185"/>
        <v>Catastrófico</v>
      </c>
      <c r="AC112" s="171">
        <f>IFERROR(IF(AND(R111="Impacto",R112="Impacto"),(AC111-(+AC111*U112)),IF(AND(R111="Probabilidad",R112="Impacto"),(AC110-(+AC110*U112)),IF(R112="Probabilidad",AC111,""))),"")</f>
        <v>1</v>
      </c>
      <c r="AD112" s="174" t="str">
        <f>IFERROR(IF(OR(AND(Z112="Rara vez",AB112="Leve"),AND(Z112="Rara vez",AB112="Menor"),AND(Z112="Improbable",AB112="Leve")),"Bajo",IF(OR(AND(Z112="Rara vez",AB112="Moderado"),AND(Z112="Improbable",AB112="Menor"),AND(Z112="Improbable",AB112="Moderado"),AND(Z112="Posible",AB112="Leve"),AND(Z112="Posible",AB112="Menor"),AND(Z112="Posible",AB112="Moderado"),AND(Z112="Probable",AB112="Leve"),AND(Z112="Probable",AB112="Menor")),"Moderado",IF(OR(AND(Z112="Rara vez",AB112="Mayor"),AND(Z112="Improbable",AB112="Mayor"),AND(Z112="Posible",AB112="Mayor"),AND(Z112="Probable",AB112="Moderado"),AND(Z112="Probable",AB112="Mayor"),AND(Z112="Casi Seguro",AB112="Leve"),AND(Z112="Casi Seguro",AB112="Menor"),AND(Z112="Casi Seguro",AB112="Moderado"),AND(Z112="Casi Seguro",AB112="Mayor")),"Alto",IF(OR(AND(Z112="Rara vez",AB112="Catastrófico"),AND(Z112="Improbable",AB112="Catastrófico"),AND(Z112="Posible",AB112="Catastrófico"),AND(Z112="Probable",AB112="Catastrófico"),AND(Z112="Casi Seguro",AB112="Catastrófico")),"Extremo","")))),"")</f>
        <v>Extremo</v>
      </c>
      <c r="AE112" s="196" t="s">
        <v>120</v>
      </c>
      <c r="AF112" s="184" t="s">
        <v>291</v>
      </c>
      <c r="AG112" s="184" t="s">
        <v>292</v>
      </c>
      <c r="AH112" s="186">
        <v>46022</v>
      </c>
      <c r="AI112" s="187"/>
      <c r="AJ112" s="188"/>
      <c r="AK112" s="523" t="s">
        <v>123</v>
      </c>
      <c r="AL112" s="535"/>
      <c r="AM112" s="535"/>
      <c r="AN112" s="535"/>
      <c r="AO112" s="535"/>
      <c r="AP112" s="535"/>
      <c r="AQ112" s="535"/>
      <c r="AR112" s="535"/>
      <c r="AS112" s="158"/>
      <c r="AT112" s="158"/>
      <c r="AU112" s="158"/>
      <c r="AV112" s="158"/>
      <c r="AW112" s="158"/>
      <c r="AX112" s="158"/>
      <c r="AY112" s="158"/>
      <c r="AZ112" s="158"/>
      <c r="BA112" s="158"/>
      <c r="BB112" s="158"/>
      <c r="BC112" s="158"/>
      <c r="BD112" s="158"/>
      <c r="BE112" s="158"/>
      <c r="BF112" s="158"/>
      <c r="BG112" s="158"/>
      <c r="BH112" s="158"/>
      <c r="BI112" s="158"/>
      <c r="BJ112" s="158"/>
    </row>
    <row r="113" spans="2:62" x14ac:dyDescent="0.2">
      <c r="B113" s="314"/>
      <c r="C113" s="316"/>
      <c r="D113" s="317"/>
      <c r="E113" s="313"/>
      <c r="F113" s="313"/>
      <c r="G113" s="304"/>
      <c r="H113" s="305"/>
      <c r="I113" s="306"/>
      <c r="J113" s="307"/>
      <c r="K113" s="308"/>
      <c r="L113" s="307">
        <f>IF(NOT(ISERROR(MATCH(K113,_xlfn.ANCHORARRAY(G355),0))),J357&amp;"Por favor no seleccionar los criterios de impacto",K113)</f>
        <v>0</v>
      </c>
      <c r="M113" s="306"/>
      <c r="N113" s="307"/>
      <c r="O113" s="309"/>
      <c r="P113" s="168">
        <v>4</v>
      </c>
      <c r="Q113" s="135"/>
      <c r="R113" s="169"/>
      <c r="S113" s="182"/>
      <c r="T113" s="170"/>
      <c r="U113" s="171"/>
      <c r="V113" s="170"/>
      <c r="W113" s="170"/>
      <c r="X113" s="170"/>
      <c r="Y113" s="172"/>
      <c r="Z113" s="197"/>
      <c r="AA113" s="171"/>
      <c r="AB113" s="173"/>
      <c r="AC113" s="171"/>
      <c r="AD113" s="174"/>
      <c r="AE113" s="170"/>
      <c r="AF113" s="136"/>
      <c r="AG113" s="203"/>
      <c r="AH113" s="202"/>
      <c r="AI113" s="136"/>
      <c r="AJ113" s="200"/>
      <c r="AK113" s="524"/>
      <c r="AL113" s="535"/>
      <c r="AM113" s="535"/>
      <c r="AN113" s="535"/>
      <c r="AO113" s="535"/>
      <c r="AP113" s="535"/>
      <c r="AQ113" s="535"/>
      <c r="AR113" s="535"/>
      <c r="AS113" s="158"/>
      <c r="AT113" s="158"/>
      <c r="AU113" s="158"/>
      <c r="AV113" s="158"/>
      <c r="AW113" s="158"/>
      <c r="AX113" s="158"/>
      <c r="AY113" s="158"/>
      <c r="AZ113" s="158"/>
      <c r="BA113" s="158"/>
      <c r="BB113" s="158"/>
      <c r="BC113" s="158"/>
      <c r="BD113" s="158"/>
      <c r="BE113" s="158"/>
      <c r="BF113" s="158"/>
      <c r="BG113" s="158"/>
      <c r="BH113" s="158"/>
      <c r="BI113" s="158"/>
      <c r="BJ113" s="158"/>
    </row>
    <row r="114" spans="2:62" ht="6" customHeight="1" x14ac:dyDescent="0.2">
      <c r="B114" s="314"/>
      <c r="C114" s="316"/>
      <c r="D114" s="317"/>
      <c r="E114" s="313"/>
      <c r="F114" s="313"/>
      <c r="G114" s="304"/>
      <c r="H114" s="305"/>
      <c r="I114" s="306"/>
      <c r="J114" s="307"/>
      <c r="K114" s="308"/>
      <c r="L114" s="307">
        <f>IF(NOT(ISERROR(MATCH(K114,_xlfn.ANCHORARRAY(G356),0))),J358&amp;"Por favor no seleccionar los criterios de impacto",K114)</f>
        <v>0</v>
      </c>
      <c r="M114" s="306"/>
      <c r="N114" s="307"/>
      <c r="O114" s="309"/>
      <c r="P114" s="168">
        <v>5</v>
      </c>
      <c r="Q114" s="127"/>
      <c r="R114" s="169" t="str">
        <f t="shared" ref="R114:R115" si="186">IF(OR(S114="Preventivo",S114="Detectivo"),"Probabilidad",IF(S114="Correctivo","Impacto",""))</f>
        <v/>
      </c>
      <c r="S114" s="170"/>
      <c r="T114" s="170"/>
      <c r="U114" s="171" t="str">
        <f t="shared" si="182"/>
        <v/>
      </c>
      <c r="V114" s="170"/>
      <c r="W114" s="170"/>
      <c r="X114" s="170"/>
      <c r="Y114" s="172" t="str">
        <f t="shared" ref="Y114:Y115" si="187">IFERROR(IF(AND(R113="Probabilidad",R114="Probabilidad"),(AA113-(+AA113*U114)),IF(AND(R113="Impacto",R114="Probabilidad"),(AA112-(+AA112*U114)),IF(R114="Impacto",AA113,""))),"")</f>
        <v/>
      </c>
      <c r="Z114" s="173" t="str">
        <f t="shared" ref="Z114:Z115" si="188">IFERROR(IF(Y114="","",IF(Y114&lt;=0.2,"Rara vez",IF(Y114&lt;=0.4,"Improbable",IF(Y114&lt;=0.6,"Posible",IF(Y114&lt;=0.8,"Probable","Casi Seguro"))))),"")</f>
        <v/>
      </c>
      <c r="AA114" s="171" t="str">
        <f t="shared" si="184"/>
        <v/>
      </c>
      <c r="AB114" s="173" t="str">
        <f t="shared" ref="AB114:AB115" si="189">IFERROR(IF(AC114="","",IF(AC114&lt;=0.6,"Moderado",IF(AC114&lt;=0.8,"Mayor","Catastrófico"))),"")</f>
        <v/>
      </c>
      <c r="AC114" s="171" t="str">
        <f t="shared" ref="AC114:AC115" si="190">IFERROR(IF(AND(R113="Impacto",R114="Impacto"),(AC113-(+AC113*U114)),IF(AND(R113="Probabilidad",R114="Impacto"),(AC112-(+AC112*U114)),IF(R114="Probabilidad",AC113,""))),"")</f>
        <v/>
      </c>
      <c r="AD114" s="174" t="str">
        <f t="shared" ref="AD114:AD115" si="191">IFERROR(IF(OR(AND(Z114="Muy Baja",AB114="Leve"),AND(Z114="Muy Baja",AB114="Menor"),AND(Z114="Baja",AB114="Leve")),"Bajo",IF(OR(AND(Z114="Muy baja",AB114="Moderado"),AND(Z114="Baja",AB114="Menor"),AND(Z114="Baja",AB114="Moderado"),AND(Z114="Media",AB114="Leve"),AND(Z114="Media",AB114="Menor"),AND(Z114="Media",AB114="Moderado"),AND(Z114="Alta",AB114="Leve"),AND(Z114="Alta",AB114="Menor")),"Moderado",IF(OR(AND(Z114="Muy Baja",AB114="Mayor"),AND(Z114="Baja",AB114="Mayor"),AND(Z114="Media",AB114="Mayor"),AND(Z114="Alta",AB114="Moderado"),AND(Z114="Alta",AB114="Mayor"),AND(Z114="Muy Alta",AB114="Leve"),AND(Z114="Muy Alta",AB114="Menor"),AND(Z114="Muy Alta",AB114="Moderado"),AND(Z114="Muy Alta",AB114="Mayor")),"Alto",IF(OR(AND(Z114="Muy Baja",AB114="Catastrófico"),AND(Z114="Baja",AB114="Catastrófico"),AND(Z114="Media",AB114="Catastrófico"),AND(Z114="Alta",AB114="Catastrófico"),AND(Z114="Muy Alta",AB114="Catastrófico")),"Extremo","")))),"")</f>
        <v/>
      </c>
      <c r="AE114" s="179"/>
      <c r="AF114" s="192"/>
      <c r="AG114" s="193"/>
      <c r="AH114" s="176"/>
      <c r="AI114" s="176"/>
      <c r="AJ114" s="177"/>
      <c r="AK114" s="522"/>
      <c r="AL114" s="535"/>
      <c r="AM114" s="535"/>
      <c r="AN114" s="535"/>
      <c r="AO114" s="535"/>
      <c r="AP114" s="535"/>
      <c r="AQ114" s="535"/>
      <c r="AR114" s="535"/>
      <c r="AS114" s="158"/>
      <c r="AT114" s="158"/>
      <c r="AU114" s="158"/>
      <c r="AV114" s="158"/>
      <c r="AW114" s="158"/>
      <c r="AX114" s="158"/>
      <c r="AY114" s="158"/>
      <c r="AZ114" s="158"/>
      <c r="BA114" s="158"/>
      <c r="BB114" s="158"/>
      <c r="BC114" s="158"/>
      <c r="BD114" s="158"/>
      <c r="BE114" s="158"/>
      <c r="BF114" s="158"/>
      <c r="BG114" s="158"/>
      <c r="BH114" s="158"/>
      <c r="BI114" s="158"/>
      <c r="BJ114" s="158"/>
    </row>
    <row r="115" spans="2:62" ht="9" customHeight="1" x14ac:dyDescent="0.2">
      <c r="B115" s="314"/>
      <c r="C115" s="320"/>
      <c r="D115" s="317"/>
      <c r="E115" s="313"/>
      <c r="F115" s="313"/>
      <c r="G115" s="304"/>
      <c r="H115" s="305"/>
      <c r="I115" s="306"/>
      <c r="J115" s="307"/>
      <c r="K115" s="308"/>
      <c r="L115" s="307">
        <f>IF(NOT(ISERROR(MATCH(K115,_xlfn.ANCHORARRAY(G357),0))),J359&amp;"Por favor no seleccionar los criterios de impacto",K115)</f>
        <v>0</v>
      </c>
      <c r="M115" s="306"/>
      <c r="N115" s="307"/>
      <c r="O115" s="309"/>
      <c r="P115" s="168">
        <v>6</v>
      </c>
      <c r="Q115" s="127"/>
      <c r="R115" s="169" t="str">
        <f t="shared" si="186"/>
        <v/>
      </c>
      <c r="S115" s="170"/>
      <c r="T115" s="170"/>
      <c r="U115" s="171" t="str">
        <f t="shared" si="182"/>
        <v/>
      </c>
      <c r="V115" s="170"/>
      <c r="W115" s="170"/>
      <c r="X115" s="170"/>
      <c r="Y115" s="172" t="str">
        <f t="shared" si="187"/>
        <v/>
      </c>
      <c r="Z115" s="173" t="str">
        <f t="shared" si="188"/>
        <v/>
      </c>
      <c r="AA115" s="171" t="str">
        <f t="shared" si="184"/>
        <v/>
      </c>
      <c r="AB115" s="173" t="str">
        <f t="shared" si="189"/>
        <v/>
      </c>
      <c r="AC115" s="171" t="str">
        <f t="shared" si="190"/>
        <v/>
      </c>
      <c r="AD115" s="174" t="str">
        <f t="shared" si="191"/>
        <v/>
      </c>
      <c r="AE115" s="179"/>
      <c r="AF115" s="192"/>
      <c r="AG115" s="193"/>
      <c r="AH115" s="176"/>
      <c r="AI115" s="176"/>
      <c r="AJ115" s="177"/>
      <c r="AK115" s="522"/>
      <c r="AL115" s="535"/>
      <c r="AM115" s="535"/>
      <c r="AN115" s="535"/>
      <c r="AO115" s="535"/>
      <c r="AP115" s="535"/>
      <c r="AQ115" s="535"/>
      <c r="AR115" s="535"/>
      <c r="AS115" s="158"/>
      <c r="AT115" s="158"/>
      <c r="AU115" s="158"/>
      <c r="AV115" s="158"/>
      <c r="AW115" s="158"/>
      <c r="AX115" s="158"/>
      <c r="AY115" s="158"/>
      <c r="AZ115" s="158"/>
      <c r="BA115" s="158"/>
      <c r="BB115" s="158"/>
      <c r="BC115" s="158"/>
      <c r="BD115" s="158"/>
      <c r="BE115" s="158"/>
      <c r="BF115" s="158"/>
      <c r="BG115" s="158"/>
      <c r="BH115" s="158"/>
      <c r="BI115" s="158"/>
      <c r="BJ115" s="158"/>
    </row>
    <row r="116" spans="2:62" s="163" customFormat="1" ht="142.5" customHeight="1" x14ac:dyDescent="0.25">
      <c r="B116" s="314" t="s">
        <v>293</v>
      </c>
      <c r="C116" s="315" t="s">
        <v>294</v>
      </c>
      <c r="D116" s="317" t="s">
        <v>295</v>
      </c>
      <c r="E116" s="313" t="s">
        <v>127</v>
      </c>
      <c r="F116" s="313" t="s">
        <v>296</v>
      </c>
      <c r="G116" s="304" t="s">
        <v>297</v>
      </c>
      <c r="H116" s="305" t="s">
        <v>109</v>
      </c>
      <c r="I116" s="306" t="str">
        <f>IF(H116&lt;=0,"",IF(H116="No se ha presentado en los últimos 5 años","Rara vez",IF(H116="Al menos 1 vez en los últimos 5 años","Improbable",IF(H116="Al menos 1 vez en los últimos 2 años","Posible",IF(H116="Al menos 1 vez en el último año","Probable",IF(H116="Más de 1 vez al año","Casi Seguro"))))))</f>
        <v>Rara vez</v>
      </c>
      <c r="J116" s="307">
        <f>IF(I116="","",IF(I116="Rara vez",0.2,IF(I116="Improbable",0.4,IF(I116="Posible",0.6,IF(I116="Probable",0.8,IF(I116="Casi Seguro",1,))))))</f>
        <v>0.2</v>
      </c>
      <c r="K116" s="308" t="s">
        <v>131</v>
      </c>
      <c r="L116" s="307" t="str">
        <f>IF(NOT(ISERROR(MATCH(K116,'Tabla Impacto'!$B$220:$B$222,0))),'Tabla Impacto'!$F$222&amp;"Por favor no seleccionar los criterios de impacto(Criterios para calificar el impacto)",K116)</f>
        <v xml:space="preserve">Responder afirmativamente de DOCE a DIECINUEVE </v>
      </c>
      <c r="M116" s="306" t="str">
        <f>IF(OR(L116='Tabla Impacto'!$C$5),"Moderado",IF(OR(L116='Tabla Impacto'!$C$6),"Mayor",IF(OR(L116='Tabla Impacto'!$C$7),"Catastrófico","")))</f>
        <v>Catastrófico</v>
      </c>
      <c r="N116" s="307">
        <f>IF(M116="","",IF(M116="Leve",0.2,IF(M116="Menor",0.4,IF(M116="Moderado",0.6,IF(M116="Mayor",0.8,IF(M116="Catastrófico",1,))))))</f>
        <v>1</v>
      </c>
      <c r="O116" s="309" t="str">
        <f>IF(OR(AND(I116="Rara vez",M116="Leve"),AND(I116="Rara vez",M116="Menor"),AND(I116="Improbable",M116="Leve")),"Bajo",IF(OR(AND(I116="Rara vez",M116="Moderado"),AND(I116="Improbable",M116="Menor"),AND(I116="Improbable",M116="Moderado"),AND(I116="Posible",M116="Leve"),AND(I116="Posible",M116="Menor"),AND(I116="Posible",M116="Moderado"),AND(I116="Probable",M116="Leve"),AND(I116="Probable",M116="Menor")),"Moderado",IF(OR(AND(I116="Rara vez",M116="Mayor"),AND(I116="Improbable",M116="Mayor"),AND(I116="Posible",M116="Mayor"),AND(I116="Probable",M116="Moderado"),AND(I116="Probable",M116="Mayor"),AND(I116="Casi Seguro",M116="Leve"),AND(I116="Casi Seguro",M116="Menor"),AND(I116="Casi Seguro",M116="Moderado"),AND(I116="Casi Seguro",M116="Mayor")),"Alto",IF(OR(AND(I116="Rara vez",M116="Catastrófico"),AND(I116="Improbable",M116="Catastrófico"),AND(I116="Posible",M116="Catastrófico"),AND(I116="Probable",M116="Catastrófico"),AND(I116="Casi Seguro",M116="Catastrófico")),"Extremo",""))))</f>
        <v>Extremo</v>
      </c>
      <c r="P116" s="168">
        <v>1</v>
      </c>
      <c r="Q116" s="129" t="s">
        <v>298</v>
      </c>
      <c r="R116" s="169" t="str">
        <f>IF(OR(S116="Preventivo",S116="Detectivo"),"Probabilidad",IF(S116="Correctivo","Impacto",""))</f>
        <v>Probabilidad</v>
      </c>
      <c r="S116" s="170" t="s">
        <v>112</v>
      </c>
      <c r="T116" s="170" t="s">
        <v>113</v>
      </c>
      <c r="U116" s="171" t="str">
        <f>IF(AND(S116="Preventivo",T116="Automático"),"50%",IF(AND(S116="Preventivo",T116="Manual"),"40%",IF(AND(S116="Detectivo",T116="Automático"),"40%",IF(AND(S116="Detectivo",T116="Manual"),"30%",IF(AND(S116="Correctivo",T116="Automático"),"35%",IF(AND(S116="Correctivo",T116="Manual"),"25%",""))))))</f>
        <v>40%</v>
      </c>
      <c r="V116" s="170" t="s">
        <v>119</v>
      </c>
      <c r="W116" s="170" t="s">
        <v>115</v>
      </c>
      <c r="X116" s="170" t="s">
        <v>134</v>
      </c>
      <c r="Y116" s="172">
        <f>IFERROR(IF(R116="Probabilidad",(J116-(+J116*U116)),IF(R116="Impacto",J116,"")),"")</f>
        <v>0.12</v>
      </c>
      <c r="Z116" s="173" t="str">
        <f>IFERROR(IF(Y116="","",IF(Y116&lt;=0.2,"Rara vez",IF(Y116&lt;=0.4,"Improbable",IF(Y116&lt;=0.6,"Posible",IF(Y116&lt;=0.8,"Probable","Casi Seguro"))))),"")</f>
        <v>Rara vez</v>
      </c>
      <c r="AA116" s="171">
        <f>+Y116</f>
        <v>0.12</v>
      </c>
      <c r="AB116" s="173" t="str">
        <f>IFERROR(IF(AC116="","",IF(AC116&lt;=0.6,"Moderado",IF(AC116&lt;=0.8,"Mayor","Catastrófico"))),"")</f>
        <v>Catastrófico</v>
      </c>
      <c r="AC116" s="171">
        <f>IFERROR(IF(R116="Impacto",(N116-(+N116*U116)),IF(R116="Probabilidad",N116,"")),"")</f>
        <v>1</v>
      </c>
      <c r="AD116" s="174" t="str">
        <f>IFERROR(IF(OR(AND(Z116="Rara vez",AB116="Leve"),AND(Z116="Rara vez",AB116="Menor"),AND(Z116="Improbable",AB116="Leve")),"Bajo",IF(OR(AND(Z116="Rara vez",AB116="Moderado"),AND(Z116="Improbable",AB116="Menor"),AND(Z116="Improbable",AB116="Moderado"),AND(Z116="Posible",AB116="Leve"),AND(Z116="Posible",AB116="Menor"),AND(Z116="Posible",AB116="Moderado"),AND(Z116="Probable",AB116="Leve"),AND(Z116="Probable",AB116="Menor")),"Moderado",IF(OR(AND(Z116="Rara vez",AB116="Mayor"),AND(Z116="Improbable",AB116="Mayor"),AND(Z116="Posible",AB116="Mayor"),AND(Z116="Probable",AB116="Moderado"),AND(Z116="Probable",AB116="Mayor"),AND(Z116="Casi Seguro",AB116="Leve"),AND(Z116="Casi Seguro",AB116="Menor"),AND(Z116="Casi Seguro",AB116="Moderado"),AND(Z116="Casi Seguro",AB116="Mayor")),"Alto",IF(OR(AND(Z116="Rara vez",AB116="Catastrófico"),AND(Z116="Improbable",AB116="Catastrófico"),AND(Z116="Posible",AB116="Catastrófico"),AND(Z116="Probable",AB116="Catastrófico"),AND(Z116="Casi Seguro",AB116="Catastrófico")),"Extremo","")))),"")</f>
        <v>Extremo</v>
      </c>
      <c r="AE116" s="170"/>
      <c r="AF116" s="123"/>
      <c r="AG116" s="123"/>
      <c r="AH116" s="175"/>
      <c r="AI116" s="176"/>
      <c r="AJ116" s="177"/>
      <c r="AK116" s="522"/>
      <c r="AL116" s="534"/>
      <c r="AM116" s="534"/>
      <c r="AN116" s="534"/>
      <c r="AO116" s="534"/>
      <c r="AP116" s="534"/>
      <c r="AQ116" s="534"/>
      <c r="AR116" s="534"/>
      <c r="AS116" s="178"/>
      <c r="AT116" s="178"/>
      <c r="AU116" s="178"/>
      <c r="AV116" s="178"/>
      <c r="AW116" s="178"/>
      <c r="AX116" s="178"/>
      <c r="AY116" s="178"/>
      <c r="AZ116" s="178"/>
      <c r="BA116" s="178"/>
      <c r="BB116" s="178"/>
      <c r="BC116" s="178"/>
      <c r="BD116" s="178"/>
      <c r="BE116" s="178"/>
      <c r="BF116" s="178"/>
      <c r="BG116" s="178"/>
      <c r="BH116" s="178"/>
      <c r="BI116" s="178"/>
      <c r="BJ116" s="178"/>
    </row>
    <row r="117" spans="2:62" ht="142.5" customHeight="1" x14ac:dyDescent="0.2">
      <c r="B117" s="314"/>
      <c r="C117" s="316"/>
      <c r="D117" s="317"/>
      <c r="E117" s="313"/>
      <c r="F117" s="313"/>
      <c r="G117" s="304"/>
      <c r="H117" s="305"/>
      <c r="I117" s="306"/>
      <c r="J117" s="307"/>
      <c r="K117" s="308"/>
      <c r="L117" s="307">
        <f>IF(NOT(ISERROR(MATCH(K117,_xlfn.ANCHORARRAY(G359),0))),J361&amp;"Por favor no seleccionar los criterios de impacto",K117)</f>
        <v>0</v>
      </c>
      <c r="M117" s="306"/>
      <c r="N117" s="307"/>
      <c r="O117" s="309"/>
      <c r="P117" s="168">
        <v>2</v>
      </c>
      <c r="Q117" s="129" t="s">
        <v>299</v>
      </c>
      <c r="R117" s="169" t="str">
        <f>IF(OR(S117="Preventivo",S117="Detectivo"),"Probabilidad",IF(S117="Correctivo","Impacto",""))</f>
        <v>Probabilidad</v>
      </c>
      <c r="S117" s="170" t="s">
        <v>112</v>
      </c>
      <c r="T117" s="170" t="s">
        <v>113</v>
      </c>
      <c r="U117" s="171" t="str">
        <f t="shared" ref="U117:U118" si="192">IF(AND(S117="Preventivo",T117="Automático"),"50%",IF(AND(S117="Preventivo",T117="Manual"),"40%",IF(AND(S117="Detectivo",T117="Automático"),"40%",IF(AND(S117="Detectivo",T117="Manual"),"30%",IF(AND(S117="Correctivo",T117="Automático"),"35%",IF(AND(S117="Correctivo",T117="Manual"),"25%",""))))))</f>
        <v>40%</v>
      </c>
      <c r="V117" s="170" t="s">
        <v>119</v>
      </c>
      <c r="W117" s="170" t="s">
        <v>115</v>
      </c>
      <c r="X117" s="170" t="s">
        <v>134</v>
      </c>
      <c r="Y117" s="172">
        <f>IFERROR(IF(AND(R116="Probabilidad",R117="Probabilidad"),(AA116-(+AA116*U117)),IF(R117="Probabilidad",(J116-(+J116*U117)),IF(R117="Impacto",AA116,""))),"")</f>
        <v>7.1999999999999995E-2</v>
      </c>
      <c r="Z117" s="173" t="str">
        <f t="shared" ref="Z117:Z118" si="193">IFERROR(IF(Y117="","",IF(Y117&lt;=0.2,"Rara vez",IF(Y117&lt;=0.4,"Improbable",IF(Y117&lt;=0.6,"Posible",IF(Y117&lt;=0.8,"Probable","Casi Seguro"))))),"")</f>
        <v>Rara vez</v>
      </c>
      <c r="AA117" s="171">
        <f t="shared" ref="AA117:AA118" si="194">+Y117</f>
        <v>7.1999999999999995E-2</v>
      </c>
      <c r="AB117" s="173" t="str">
        <f t="shared" ref="AB117:AB118" si="195">IFERROR(IF(AC117="","",IF(AC117&lt;=0.6,"Moderado",IF(AC117&lt;=0.8,"Mayor","Catastrófico"))),"")</f>
        <v>Catastrófico</v>
      </c>
      <c r="AC117" s="171">
        <f>IFERROR(IF(AND(R116="Impacto",R117="Impacto"),(AC116-(+AC116*U117)),IF(R117="Impacto",(N116-(+N116*U117)),IF(R117="Probabilidad",AC116,""))),"")</f>
        <v>1</v>
      </c>
      <c r="AD117" s="174" t="str">
        <f>IFERROR(IF(OR(AND(Z117="Rara vez",AB117="Leve"),AND(Z117="Rara vez",AB117="Menor"),AND(Z117="Improbable",AB117="Leve")),"Bajo",IF(OR(AND(Z117="Rara vez",AB117="Moderado"),AND(Z117="Improbable",AB117="Menor"),AND(Z117="Improbable",AB117="Moderado"),AND(Z117="Posible",AB117="Leve"),AND(Z117="Posible",AB117="Menor"),AND(Z117="Posible",AB117="Moderado"),AND(Z117="Probable",AB117="Leve"),AND(Z117="Probable",AB117="Menor")),"Moderado",IF(OR(AND(Z117="Rara vez",AB117="Mayor"),AND(Z117="Improbable",AB117="Mayor"),AND(Z117="Posible",AB117="Mayor"),AND(Z117="Probable",AB117="Moderado"),AND(Z117="Probable",AB117="Mayor"),AND(Z117="Casi Seguro",AB117="Leve"),AND(Z117="Casi Seguro",AB117="Menor"),AND(Z117="Casi Seguro",AB117="Moderado"),AND(Z117="Casi Seguro",AB117="Mayor")),"Alto",IF(OR(AND(Z117="Rara vez",AB117="Catastrófico"),AND(Z117="Improbable",AB117="Catastrófico"),AND(Z117="Posible",AB117="Catastrófico"),AND(Z117="Probable",AB117="Catastrófico"),AND(Z117="Casi Seguro",AB117="Catastrófico")),"Extremo","")))),"")</f>
        <v>Extremo</v>
      </c>
      <c r="AE117" s="170"/>
      <c r="AF117" s="132"/>
      <c r="AG117" s="194"/>
      <c r="AH117" s="195"/>
      <c r="AI117" s="176"/>
      <c r="AJ117" s="181"/>
      <c r="AK117" s="522"/>
      <c r="AL117" s="535"/>
      <c r="AM117" s="535"/>
      <c r="AN117" s="535"/>
      <c r="AO117" s="535"/>
      <c r="AP117" s="535"/>
      <c r="AQ117" s="535"/>
      <c r="AR117" s="535"/>
      <c r="AS117" s="158"/>
      <c r="AT117" s="158"/>
      <c r="AU117" s="158"/>
      <c r="AV117" s="158"/>
      <c r="AW117" s="158"/>
      <c r="AX117" s="158"/>
      <c r="AY117" s="158"/>
      <c r="AZ117" s="158"/>
      <c r="BA117" s="158"/>
      <c r="BB117" s="158"/>
      <c r="BC117" s="158"/>
      <c r="BD117" s="158"/>
      <c r="BE117" s="158"/>
      <c r="BF117" s="158"/>
      <c r="BG117" s="158"/>
      <c r="BH117" s="158"/>
      <c r="BI117" s="158"/>
      <c r="BJ117" s="158"/>
    </row>
    <row r="118" spans="2:62" ht="78.75" customHeight="1" x14ac:dyDescent="0.2">
      <c r="B118" s="314"/>
      <c r="C118" s="316"/>
      <c r="D118" s="317"/>
      <c r="E118" s="313"/>
      <c r="F118" s="313"/>
      <c r="G118" s="304"/>
      <c r="H118" s="305"/>
      <c r="I118" s="306"/>
      <c r="J118" s="307"/>
      <c r="K118" s="308"/>
      <c r="L118" s="307">
        <f>IF(NOT(ISERROR(MATCH(K118,_xlfn.ANCHORARRAY(G360),0))),J362&amp;"Por favor no seleccionar los criterios de impacto",K118)</f>
        <v>0</v>
      </c>
      <c r="M118" s="306"/>
      <c r="N118" s="307"/>
      <c r="O118" s="309"/>
      <c r="P118" s="168">
        <v>3</v>
      </c>
      <c r="Q118" s="129" t="s">
        <v>300</v>
      </c>
      <c r="R118" s="169" t="s">
        <v>136</v>
      </c>
      <c r="S118" s="182" t="s">
        <v>137</v>
      </c>
      <c r="T118" s="170" t="s">
        <v>113</v>
      </c>
      <c r="U118" s="171" t="str">
        <f t="shared" si="192"/>
        <v>25%</v>
      </c>
      <c r="V118" s="170" t="s">
        <v>119</v>
      </c>
      <c r="W118" s="170" t="s">
        <v>115</v>
      </c>
      <c r="X118" s="170" t="s">
        <v>134</v>
      </c>
      <c r="Y118" s="172">
        <f>IFERROR(IF(AND(R117="Probabilidad",R118="Probabilidad"),(AA117-(+AA117*U118)),IF(AND(R117="Impacto",R118="Probabilidad"),(AA116-(+AA116*U118)),IF(R118="Impacto",AA117,""))),"")</f>
        <v>7.1999999999999995E-2</v>
      </c>
      <c r="Z118" s="173" t="str">
        <f t="shared" si="193"/>
        <v>Rara vez</v>
      </c>
      <c r="AA118" s="171">
        <f t="shared" si="194"/>
        <v>7.1999999999999995E-2</v>
      </c>
      <c r="AB118" s="173" t="str">
        <f t="shared" si="195"/>
        <v>Mayor</v>
      </c>
      <c r="AC118" s="171">
        <f>IFERROR(IF(AND(R117="Impacto",R118="Impacto"),(AC117-(+AC117*U118)),IF(AND(R117="Probabilidad",R118="Impacto"),(AC116-(+AC116*U118)),IF(R118="Probabilidad",AC117,""))),"")</f>
        <v>0.75</v>
      </c>
      <c r="AD118" s="174" t="str">
        <f>IFERROR(IF(OR(AND(Z118="Rara vez",AB118="Leve"),AND(Z118="Rara vez",AB118="Menor"),AND(Z118="Improbable",AB118="Leve")),"Bajo",IF(OR(AND(Z118="Rara vez",AB118="Moderado"),AND(Z118="Improbable",AB118="Menor"),AND(Z118="Improbable",AB118="Moderado"),AND(Z118="Posible",AB118="Leve"),AND(Z118="Posible",AB118="Menor"),AND(Z118="Posible",AB118="Moderado"),AND(Z118="Probable",AB118="Leve"),AND(Z118="Probable",AB118="Menor")),"Moderado",IF(OR(AND(Z118="Rara vez",AB118="Mayor"),AND(Z118="Improbable",AB118="Mayor"),AND(Z118="Posible",AB118="Mayor"),AND(Z118="Probable",AB118="Moderado"),AND(Z118="Probable",AB118="Mayor"),AND(Z118="Casi Seguro",AB118="Leve"),AND(Z118="Casi Seguro",AB118="Menor"),AND(Z118="Casi Seguro",AB118="Moderado"),AND(Z118="Casi Seguro",AB118="Mayor")),"Alto",IF(OR(AND(Z118="Rara vez",AB118="Catastrófico"),AND(Z118="Improbable",AB118="Catastrófico"),AND(Z118="Posible",AB118="Catastrófico"),AND(Z118="Probable",AB118="Catastrófico"),AND(Z118="Casi Seguro",AB118="Catastrófico")),"Extremo","")))),"")</f>
        <v>Alto</v>
      </c>
      <c r="AE118" s="196" t="s">
        <v>120</v>
      </c>
      <c r="AF118" s="136" t="s">
        <v>301</v>
      </c>
      <c r="AG118" s="137" t="s">
        <v>302</v>
      </c>
      <c r="AH118" s="131">
        <v>45807</v>
      </c>
      <c r="AI118" s="187"/>
      <c r="AJ118" s="188"/>
      <c r="AK118" s="523" t="s">
        <v>123</v>
      </c>
      <c r="AL118" s="535"/>
      <c r="AM118" s="535"/>
      <c r="AN118" s="535"/>
      <c r="AO118" s="535"/>
      <c r="AP118" s="535"/>
      <c r="AQ118" s="535"/>
      <c r="AR118" s="535"/>
      <c r="AS118" s="158"/>
      <c r="AT118" s="158"/>
      <c r="AU118" s="158"/>
      <c r="AV118" s="158"/>
      <c r="AW118" s="158"/>
      <c r="AX118" s="158"/>
      <c r="AY118" s="158"/>
      <c r="AZ118" s="158"/>
      <c r="BA118" s="158"/>
      <c r="BB118" s="158"/>
      <c r="BC118" s="158"/>
      <c r="BD118" s="158"/>
      <c r="BE118" s="158"/>
      <c r="BF118" s="158"/>
      <c r="BG118" s="158"/>
      <c r="BH118" s="158"/>
      <c r="BI118" s="158"/>
      <c r="BJ118" s="158"/>
    </row>
    <row r="119" spans="2:62" x14ac:dyDescent="0.2">
      <c r="B119" s="314"/>
      <c r="C119" s="316"/>
      <c r="D119" s="317"/>
      <c r="E119" s="313"/>
      <c r="F119" s="313"/>
      <c r="G119" s="304"/>
      <c r="H119" s="305"/>
      <c r="I119" s="306"/>
      <c r="J119" s="307"/>
      <c r="K119" s="308"/>
      <c r="L119" s="307">
        <f>IF(NOT(ISERROR(MATCH(K119,_xlfn.ANCHORARRAY(G361),0))),J363&amp;"Por favor no seleccionar los criterios de impacto",K119)</f>
        <v>0</v>
      </c>
      <c r="M119" s="306"/>
      <c r="N119" s="307"/>
      <c r="O119" s="309"/>
      <c r="P119" s="168">
        <v>4</v>
      </c>
      <c r="Q119" s="135"/>
      <c r="R119" s="169"/>
      <c r="S119" s="182"/>
      <c r="T119" s="170"/>
      <c r="U119" s="171"/>
      <c r="V119" s="170"/>
      <c r="W119" s="170"/>
      <c r="X119" s="170"/>
      <c r="Y119" s="172"/>
      <c r="Z119" s="173"/>
      <c r="AA119" s="171"/>
      <c r="AB119" s="173"/>
      <c r="AC119" s="171"/>
      <c r="AD119" s="174"/>
      <c r="AE119" s="170"/>
      <c r="AF119" s="136"/>
      <c r="AG119" s="203"/>
      <c r="AH119" s="202"/>
      <c r="AI119" s="136"/>
      <c r="AJ119" s="200"/>
      <c r="AK119" s="524"/>
      <c r="AL119" s="535"/>
      <c r="AM119" s="535"/>
      <c r="AN119" s="535"/>
      <c r="AO119" s="535"/>
      <c r="AP119" s="535"/>
      <c r="AQ119" s="535"/>
      <c r="AR119" s="535"/>
      <c r="AS119" s="158"/>
      <c r="AT119" s="158"/>
      <c r="AU119" s="158"/>
      <c r="AV119" s="158"/>
      <c r="AW119" s="158"/>
      <c r="AX119" s="158"/>
      <c r="AY119" s="158"/>
      <c r="AZ119" s="158"/>
      <c r="BA119" s="158"/>
      <c r="BB119" s="158"/>
      <c r="BC119" s="158"/>
      <c r="BD119" s="158"/>
      <c r="BE119" s="158"/>
      <c r="BF119" s="158"/>
      <c r="BG119" s="158"/>
      <c r="BH119" s="158"/>
      <c r="BI119" s="158"/>
      <c r="BJ119" s="158"/>
    </row>
    <row r="120" spans="2:62" ht="6" customHeight="1" x14ac:dyDescent="0.2">
      <c r="B120" s="314"/>
      <c r="C120" s="316"/>
      <c r="D120" s="317"/>
      <c r="E120" s="313"/>
      <c r="F120" s="313"/>
      <c r="G120" s="304"/>
      <c r="H120" s="305"/>
      <c r="I120" s="306"/>
      <c r="J120" s="307"/>
      <c r="K120" s="308"/>
      <c r="L120" s="307">
        <f>IF(NOT(ISERROR(MATCH(K120,_xlfn.ANCHORARRAY(G362),0))),J364&amp;"Por favor no seleccionar los criterios de impacto",K120)</f>
        <v>0</v>
      </c>
      <c r="M120" s="306"/>
      <c r="N120" s="307"/>
      <c r="O120" s="309"/>
      <c r="P120" s="168">
        <v>5</v>
      </c>
      <c r="Q120" s="127"/>
      <c r="R120" s="169" t="str">
        <f t="shared" ref="R120:R121" si="196">IF(OR(S120="Preventivo",S120="Detectivo"),"Probabilidad",IF(S120="Correctivo","Impacto",""))</f>
        <v/>
      </c>
      <c r="S120" s="170"/>
      <c r="T120" s="170"/>
      <c r="U120" s="171" t="str">
        <f t="shared" ref="U120:U121" si="197">IF(AND(S120="Preventivo",T120="Automático"),"50%",IF(AND(S120="Preventivo",T120="Manual"),"40%",IF(AND(S120="Detectivo",T120="Automático"),"40%",IF(AND(S120="Detectivo",T120="Manual"),"30%",IF(AND(S120="Correctivo",T120="Automático"),"35%",IF(AND(S120="Correctivo",T120="Manual"),"25%",""))))))</f>
        <v/>
      </c>
      <c r="V120" s="170"/>
      <c r="W120" s="170"/>
      <c r="X120" s="170"/>
      <c r="Y120" s="172" t="str">
        <f t="shared" ref="Y120:Y121" si="198">IFERROR(IF(AND(R119="Probabilidad",R120="Probabilidad"),(AA119-(+AA119*U120)),IF(AND(R119="Impacto",R120="Probabilidad"),(AA118-(+AA118*U120)),IF(R120="Impacto",AA119,""))),"")</f>
        <v/>
      </c>
      <c r="Z120" s="173" t="str">
        <f t="shared" ref="Z120:Z121" si="199">IFERROR(IF(Y120="","",IF(Y120&lt;=0.2,"Rara vez",IF(Y120&lt;=0.4,"Improbable",IF(Y120&lt;=0.6,"Posible",IF(Y120&lt;=0.8,"Probable","Casi Seguro"))))),"")</f>
        <v/>
      </c>
      <c r="AA120" s="171" t="str">
        <f t="shared" ref="AA120:AA121" si="200">+Y120</f>
        <v/>
      </c>
      <c r="AB120" s="173" t="str">
        <f t="shared" ref="AB120:AB121" si="201">IFERROR(IF(AC120="","",IF(AC120&lt;=0.6,"Moderado",IF(AC120&lt;=0.8,"Mayor","Catastrófico"))),"")</f>
        <v/>
      </c>
      <c r="AC120" s="171" t="str">
        <f t="shared" ref="AC120:AC121" si="202">IFERROR(IF(AND(R119="Impacto",R120="Impacto"),(AC119-(+AC119*U120)),IF(AND(R119="Probabilidad",R120="Impacto"),(AC118-(+AC118*U120)),IF(R120="Probabilidad",AC119,""))),"")</f>
        <v/>
      </c>
      <c r="AD120" s="174" t="str">
        <f t="shared" ref="AD120:AD121" si="203">IFERROR(IF(OR(AND(Z120="Muy Baja",AB120="Leve"),AND(Z120="Muy Baja",AB120="Menor"),AND(Z120="Baja",AB120="Leve")),"Bajo",IF(OR(AND(Z120="Muy baja",AB120="Moderado"),AND(Z120="Baja",AB120="Menor"),AND(Z120="Baja",AB120="Moderado"),AND(Z120="Media",AB120="Leve"),AND(Z120="Media",AB120="Menor"),AND(Z120="Media",AB120="Moderado"),AND(Z120="Alta",AB120="Leve"),AND(Z120="Alta",AB120="Menor")),"Moderado",IF(OR(AND(Z120="Muy Baja",AB120="Mayor"),AND(Z120="Baja",AB120="Mayor"),AND(Z120="Media",AB120="Mayor"),AND(Z120="Alta",AB120="Moderado"),AND(Z120="Alta",AB120="Mayor"),AND(Z120="Muy Alta",AB120="Leve"),AND(Z120="Muy Alta",AB120="Menor"),AND(Z120="Muy Alta",AB120="Moderado"),AND(Z120="Muy Alta",AB120="Mayor")),"Alto",IF(OR(AND(Z120="Muy Baja",AB120="Catastrófico"),AND(Z120="Baja",AB120="Catastrófico"),AND(Z120="Media",AB120="Catastrófico"),AND(Z120="Alta",AB120="Catastrófico"),AND(Z120="Muy Alta",AB120="Catastrófico")),"Extremo","")))),"")</f>
        <v/>
      </c>
      <c r="AE120" s="179"/>
      <c r="AF120" s="192"/>
      <c r="AG120" s="193"/>
      <c r="AH120" s="176"/>
      <c r="AI120" s="176"/>
      <c r="AJ120" s="177"/>
      <c r="AK120" s="522"/>
      <c r="AL120" s="535"/>
      <c r="AM120" s="535"/>
      <c r="AN120" s="535"/>
      <c r="AO120" s="535"/>
      <c r="AP120" s="535"/>
      <c r="AQ120" s="535"/>
      <c r="AR120" s="535"/>
      <c r="AS120" s="158"/>
      <c r="AT120" s="158"/>
      <c r="AU120" s="158"/>
      <c r="AV120" s="158"/>
      <c r="AW120" s="158"/>
      <c r="AX120" s="158"/>
      <c r="AY120" s="158"/>
      <c r="AZ120" s="158"/>
      <c r="BA120" s="158"/>
      <c r="BB120" s="158"/>
      <c r="BC120" s="158"/>
      <c r="BD120" s="158"/>
      <c r="BE120" s="158"/>
      <c r="BF120" s="158"/>
      <c r="BG120" s="158"/>
      <c r="BH120" s="158"/>
      <c r="BI120" s="158"/>
      <c r="BJ120" s="158"/>
    </row>
    <row r="121" spans="2:62" ht="9" customHeight="1" x14ac:dyDescent="0.2">
      <c r="B121" s="314"/>
      <c r="C121" s="320"/>
      <c r="D121" s="317"/>
      <c r="E121" s="313"/>
      <c r="F121" s="313"/>
      <c r="G121" s="304"/>
      <c r="H121" s="305"/>
      <c r="I121" s="306"/>
      <c r="J121" s="307"/>
      <c r="K121" s="308"/>
      <c r="L121" s="307">
        <f>IF(NOT(ISERROR(MATCH(K121,_xlfn.ANCHORARRAY(G363),0))),J365&amp;"Por favor no seleccionar los criterios de impacto",K121)</f>
        <v>0</v>
      </c>
      <c r="M121" s="306"/>
      <c r="N121" s="307"/>
      <c r="O121" s="309"/>
      <c r="P121" s="168">
        <v>6</v>
      </c>
      <c r="Q121" s="127"/>
      <c r="R121" s="169" t="str">
        <f t="shared" si="196"/>
        <v/>
      </c>
      <c r="S121" s="170"/>
      <c r="T121" s="170"/>
      <c r="U121" s="171" t="str">
        <f t="shared" si="197"/>
        <v/>
      </c>
      <c r="V121" s="170"/>
      <c r="W121" s="170"/>
      <c r="X121" s="170"/>
      <c r="Y121" s="172" t="str">
        <f t="shared" si="198"/>
        <v/>
      </c>
      <c r="Z121" s="173" t="str">
        <f t="shared" si="199"/>
        <v/>
      </c>
      <c r="AA121" s="171" t="str">
        <f t="shared" si="200"/>
        <v/>
      </c>
      <c r="AB121" s="173" t="str">
        <f t="shared" si="201"/>
        <v/>
      </c>
      <c r="AC121" s="171" t="str">
        <f t="shared" si="202"/>
        <v/>
      </c>
      <c r="AD121" s="174" t="str">
        <f t="shared" si="203"/>
        <v/>
      </c>
      <c r="AE121" s="179"/>
      <c r="AF121" s="192"/>
      <c r="AG121" s="193"/>
      <c r="AH121" s="176"/>
      <c r="AI121" s="176"/>
      <c r="AJ121" s="177"/>
      <c r="AK121" s="522"/>
      <c r="AL121" s="535"/>
      <c r="AM121" s="535"/>
      <c r="AN121" s="535"/>
      <c r="AO121" s="535"/>
      <c r="AP121" s="535"/>
      <c r="AQ121" s="535"/>
      <c r="AR121" s="535"/>
      <c r="AS121" s="158"/>
      <c r="AT121" s="158"/>
      <c r="AU121" s="158"/>
      <c r="AV121" s="158"/>
      <c r="AW121" s="158"/>
      <c r="AX121" s="158"/>
      <c r="AY121" s="158"/>
      <c r="AZ121" s="158"/>
      <c r="BA121" s="158"/>
      <c r="BB121" s="158"/>
      <c r="BC121" s="158"/>
      <c r="BD121" s="158"/>
      <c r="BE121" s="158"/>
      <c r="BF121" s="158"/>
      <c r="BG121" s="158"/>
      <c r="BH121" s="158"/>
      <c r="BI121" s="158"/>
      <c r="BJ121" s="158"/>
    </row>
    <row r="122" spans="2:62" s="163" customFormat="1" ht="107.25" customHeight="1" x14ac:dyDescent="0.25">
      <c r="B122" s="314" t="s">
        <v>303</v>
      </c>
      <c r="C122" s="315" t="s">
        <v>294</v>
      </c>
      <c r="D122" s="317" t="s">
        <v>304</v>
      </c>
      <c r="E122" s="313" t="s">
        <v>127</v>
      </c>
      <c r="F122" s="313" t="s">
        <v>305</v>
      </c>
      <c r="G122" s="304" t="s">
        <v>297</v>
      </c>
      <c r="H122" s="305" t="s">
        <v>109</v>
      </c>
      <c r="I122" s="306" t="str">
        <f>IF(H122&lt;=0,"",IF(H122="No se ha presentado en los últimos 5 años","Rara vez",IF(H122="Al menos 1 vez en los últimos 5 años","Improbable",IF(H122="Al menos 1 vez en los últimos 2 años","Posible",IF(H122="Al menos 1 vez en el último año","Probable",IF(H122="Más de 1 vez al año","Casi Seguro"))))))</f>
        <v>Rara vez</v>
      </c>
      <c r="J122" s="307">
        <f>IF(I122="","",IF(I122="Rara vez",0.2,IF(I122="Improbable",0.4,IF(I122="Posible",0.6,IF(I122="Probable",0.8,IF(I122="Casi Seguro",1,))))))</f>
        <v>0.2</v>
      </c>
      <c r="K122" s="308" t="s">
        <v>131</v>
      </c>
      <c r="L122" s="307" t="str">
        <f>IF(NOT(ISERROR(MATCH(K122,'Tabla Impacto'!$B$220:$B$222,0))),'Tabla Impacto'!$F$222&amp;"Por favor no seleccionar los criterios de impacto(Criterios para calificar el impacto)",K122)</f>
        <v xml:space="preserve">Responder afirmativamente de DOCE a DIECINUEVE </v>
      </c>
      <c r="M122" s="306" t="str">
        <f>IF(OR(L122='Tabla Impacto'!$C$5),"Moderado",IF(OR(L122='Tabla Impacto'!$C$6),"Mayor",IF(OR(L122='Tabla Impacto'!$C$7),"Catastrófico","")))</f>
        <v>Catastrófico</v>
      </c>
      <c r="N122" s="307">
        <f>IF(M122="","",IF(M122="Leve",0.2,IF(M122="Menor",0.4,IF(M122="Moderado",0.6,IF(M122="Mayor",0.8,IF(M122="Catastrófico",1,))))))</f>
        <v>1</v>
      </c>
      <c r="O122" s="309" t="str">
        <f>IF(OR(AND(I122="Rara vez",M122="Leve"),AND(I122="Rara vez",M122="Menor"),AND(I122="Improbable",M122="Leve")),"Bajo",IF(OR(AND(I122="Rara vez",M122="Moderado"),AND(I122="Improbable",M122="Menor"),AND(I122="Improbable",M122="Moderado"),AND(I122="Posible",M122="Leve"),AND(I122="Posible",M122="Menor"),AND(I122="Posible",M122="Moderado"),AND(I122="Probable",M122="Leve"),AND(I122="Probable",M122="Menor")),"Moderado",IF(OR(AND(I122="Rara vez",M122="Mayor"),AND(I122="Improbable",M122="Mayor"),AND(I122="Posible",M122="Mayor"),AND(I122="Probable",M122="Moderado"),AND(I122="Probable",M122="Mayor"),AND(I122="Casi Seguro",M122="Leve"),AND(I122="Casi Seguro",M122="Menor"),AND(I122="Casi Seguro",M122="Moderado"),AND(I122="Casi Seguro",M122="Mayor")),"Alto",IF(OR(AND(I122="Rara vez",M122="Catastrófico"),AND(I122="Improbable",M122="Catastrófico"),AND(I122="Posible",M122="Catastrófico"),AND(I122="Probable",M122="Catastrófico"),AND(I122="Casi Seguro",M122="Catastrófico")),"Extremo",""))))</f>
        <v>Extremo</v>
      </c>
      <c r="P122" s="168">
        <v>1</v>
      </c>
      <c r="Q122" s="129" t="s">
        <v>306</v>
      </c>
      <c r="R122" s="169" t="str">
        <f>IF(OR(S122="Preventivo",S122="Detectivo"),"Probabilidad",IF(S122="Correctivo","Impacto",""))</f>
        <v>Probabilidad</v>
      </c>
      <c r="S122" s="170" t="s">
        <v>112</v>
      </c>
      <c r="T122" s="170" t="s">
        <v>113</v>
      </c>
      <c r="U122" s="171" t="str">
        <f>IF(AND(S122="Preventivo",T122="Automático"),"50%",IF(AND(S122="Preventivo",T122="Manual"),"40%",IF(AND(S122="Detectivo",T122="Automático"),"40%",IF(AND(S122="Detectivo",T122="Manual"),"30%",IF(AND(S122="Correctivo",T122="Automático"),"35%",IF(AND(S122="Correctivo",T122="Manual"),"25%",""))))))</f>
        <v>40%</v>
      </c>
      <c r="V122" s="170" t="s">
        <v>119</v>
      </c>
      <c r="W122" s="170" t="s">
        <v>115</v>
      </c>
      <c r="X122" s="170" t="s">
        <v>134</v>
      </c>
      <c r="Y122" s="172">
        <f>IFERROR(IF(R122="Probabilidad",(J122-(+J122*U122)),IF(R122="Impacto",J122,"")),"")</f>
        <v>0.12</v>
      </c>
      <c r="Z122" s="173" t="str">
        <f>IFERROR(IF(Y122="","",IF(Y122&lt;=0.2,"Rara vez",IF(Y122&lt;=0.4,"Improbable",IF(Y122&lt;=0.6,"Posible",IF(Y122&lt;=0.8,"Probable","Casi Seguro"))))),"")</f>
        <v>Rara vez</v>
      </c>
      <c r="AA122" s="171">
        <f>+Y122</f>
        <v>0.12</v>
      </c>
      <c r="AB122" s="173" t="str">
        <f>IFERROR(IF(AC122="","",IF(AC122&lt;=0.6,"Moderado",IF(AC122&lt;=0.8,"Mayor","Catastrófico"))),"")</f>
        <v>Catastrófico</v>
      </c>
      <c r="AC122" s="171">
        <f>IFERROR(IF(R122="Impacto",(N122-(+N122*U122)),IF(R122="Probabilidad",N122,"")),"")</f>
        <v>1</v>
      </c>
      <c r="AD122" s="174" t="str">
        <f>IFERROR(IF(OR(AND(Z122="Rara vez",AB122="Leve"),AND(Z122="Rara vez",AB122="Menor"),AND(Z122="Improbable",AB122="Leve")),"Bajo",IF(OR(AND(Z122="Rara vez",AB122="Moderado"),AND(Z122="Improbable",AB122="Menor"),AND(Z122="Improbable",AB122="Moderado"),AND(Z122="Posible",AB122="Leve"),AND(Z122="Posible",AB122="Menor"),AND(Z122="Posible",AB122="Moderado"),AND(Z122="Probable",AB122="Leve"),AND(Z122="Probable",AB122="Menor")),"Moderado",IF(OR(AND(Z122="Rara vez",AB122="Mayor"),AND(Z122="Improbable",AB122="Mayor"),AND(Z122="Posible",AB122="Mayor"),AND(Z122="Probable",AB122="Moderado"),AND(Z122="Probable",AB122="Mayor"),AND(Z122="Casi Seguro",AB122="Leve"),AND(Z122="Casi Seguro",AB122="Menor"),AND(Z122="Casi Seguro",AB122="Moderado"),AND(Z122="Casi Seguro",AB122="Mayor")),"Alto",IF(OR(AND(Z122="Rara vez",AB122="Catastrófico"),AND(Z122="Improbable",AB122="Catastrófico"),AND(Z122="Posible",AB122="Catastrófico"),AND(Z122="Probable",AB122="Catastrófico"),AND(Z122="Casi Seguro",AB122="Catastrófico")),"Extremo","")))),"")</f>
        <v>Extremo</v>
      </c>
      <c r="AE122" s="170"/>
      <c r="AF122" s="123"/>
      <c r="AG122" s="123"/>
      <c r="AH122" s="175"/>
      <c r="AI122" s="176"/>
      <c r="AJ122" s="177"/>
      <c r="AK122" s="522"/>
      <c r="AL122" s="534"/>
      <c r="AM122" s="534"/>
      <c r="AN122" s="534"/>
      <c r="AO122" s="534"/>
      <c r="AP122" s="534"/>
      <c r="AQ122" s="534"/>
      <c r="AR122" s="534"/>
      <c r="AS122" s="178"/>
      <c r="AT122" s="178"/>
      <c r="AU122" s="178"/>
      <c r="AV122" s="178"/>
      <c r="AW122" s="178"/>
      <c r="AX122" s="178"/>
      <c r="AY122" s="178"/>
      <c r="AZ122" s="178"/>
      <c r="BA122" s="178"/>
      <c r="BB122" s="178"/>
      <c r="BC122" s="178"/>
      <c r="BD122" s="178"/>
      <c r="BE122" s="178"/>
      <c r="BF122" s="178"/>
      <c r="BG122" s="178"/>
      <c r="BH122" s="178"/>
      <c r="BI122" s="178"/>
      <c r="BJ122" s="178"/>
    </row>
    <row r="123" spans="2:62" ht="105" customHeight="1" x14ac:dyDescent="0.2">
      <c r="B123" s="314"/>
      <c r="C123" s="316"/>
      <c r="D123" s="317"/>
      <c r="E123" s="313"/>
      <c r="F123" s="313"/>
      <c r="G123" s="304"/>
      <c r="H123" s="305"/>
      <c r="I123" s="306"/>
      <c r="J123" s="307"/>
      <c r="K123" s="308"/>
      <c r="L123" s="307">
        <f>IF(NOT(ISERROR(MATCH(K123,_xlfn.ANCHORARRAY(G365),0))),J367&amp;"Por favor no seleccionar los criterios de impacto",K123)</f>
        <v>0</v>
      </c>
      <c r="M123" s="306"/>
      <c r="N123" s="307"/>
      <c r="O123" s="309"/>
      <c r="P123" s="168">
        <v>2</v>
      </c>
      <c r="Q123" s="129" t="s">
        <v>307</v>
      </c>
      <c r="R123" s="169" t="str">
        <f>IF(OR(S123="Preventivo",S123="Detectivo"),"Probabilidad",IF(S123="Correctivo","Impacto",""))</f>
        <v>Probabilidad</v>
      </c>
      <c r="S123" s="170" t="s">
        <v>133</v>
      </c>
      <c r="T123" s="170" t="s">
        <v>113</v>
      </c>
      <c r="U123" s="171" t="str">
        <f t="shared" ref="U123:U125" si="204">IF(AND(S123="Preventivo",T123="Automático"),"50%",IF(AND(S123="Preventivo",T123="Manual"),"40%",IF(AND(S123="Detectivo",T123="Automático"),"40%",IF(AND(S123="Detectivo",T123="Manual"),"30%",IF(AND(S123="Correctivo",T123="Automático"),"35%",IF(AND(S123="Correctivo",T123="Manual"),"25%",""))))))</f>
        <v>30%</v>
      </c>
      <c r="V123" s="170" t="s">
        <v>119</v>
      </c>
      <c r="W123" s="170" t="s">
        <v>115</v>
      </c>
      <c r="X123" s="170" t="s">
        <v>134</v>
      </c>
      <c r="Y123" s="172">
        <f>IFERROR(IF(AND(R122="Probabilidad",R123="Probabilidad"),(AA122-(+AA122*U123)),IF(R123="Probabilidad",(J122-(+J122*U123)),IF(R123="Impacto",AA122,""))),"")</f>
        <v>8.3999999999999991E-2</v>
      </c>
      <c r="Z123" s="173" t="str">
        <f t="shared" ref="Z123:Z126" si="205">IFERROR(IF(Y123="","",IF(Y123&lt;=0.2,"Rara vez",IF(Y123&lt;=0.4,"Improbable",IF(Y123&lt;=0.6,"Posible",IF(Y123&lt;=0.8,"Probable","Casi Seguro"))))),"")</f>
        <v>Rara vez</v>
      </c>
      <c r="AA123" s="171">
        <f t="shared" ref="AA123:AA126" si="206">+Y123</f>
        <v>8.3999999999999991E-2</v>
      </c>
      <c r="AB123" s="173" t="str">
        <f t="shared" ref="AB123:AB126" si="207">IFERROR(IF(AC123="","",IF(AC123&lt;=0.6,"Moderado",IF(AC123&lt;=0.8,"Mayor","Catastrófico"))),"")</f>
        <v>Catastrófico</v>
      </c>
      <c r="AC123" s="171">
        <f>IFERROR(IF(AND(R122="Impacto",R123="Impacto"),(AC122-(+AC122*U123)),IF(R123="Impacto",(N122-(+N122*U123)),IF(R123="Probabilidad",AC122,""))),"")</f>
        <v>1</v>
      </c>
      <c r="AD123" s="174" t="str">
        <f>IFERROR(IF(OR(AND(Z123="Rara vez",AB123="Leve"),AND(Z123="Rara vez",AB123="Menor"),AND(Z123="Improbable",AB123="Leve")),"Bajo",IF(OR(AND(Z123="Rara vez",AB123="Moderado"),AND(Z123="Improbable",AB123="Menor"),AND(Z123="Improbable",AB123="Moderado"),AND(Z123="Posible",AB123="Leve"),AND(Z123="Posible",AB123="Menor"),AND(Z123="Posible",AB123="Moderado"),AND(Z123="Probable",AB123="Leve"),AND(Z123="Probable",AB123="Menor")),"Moderado",IF(OR(AND(Z123="Rara vez",AB123="Mayor"),AND(Z123="Improbable",AB123="Mayor"),AND(Z123="Posible",AB123="Mayor"),AND(Z123="Probable",AB123="Moderado"),AND(Z123="Probable",AB123="Mayor"),AND(Z123="Casi Seguro",AB123="Leve"),AND(Z123="Casi Seguro",AB123="Menor"),AND(Z123="Casi Seguro",AB123="Moderado"),AND(Z123="Casi Seguro",AB123="Mayor")),"Alto",IF(OR(AND(Z123="Rara vez",AB123="Catastrófico"),AND(Z123="Improbable",AB123="Catastrófico"),AND(Z123="Posible",AB123="Catastrófico"),AND(Z123="Probable",AB123="Catastrófico"),AND(Z123="Casi Seguro",AB123="Catastrófico")),"Extremo","")))),"")</f>
        <v>Extremo</v>
      </c>
      <c r="AE123" s="170"/>
      <c r="AF123" s="132"/>
      <c r="AG123" s="194"/>
      <c r="AH123" s="195"/>
      <c r="AI123" s="176"/>
      <c r="AJ123" s="181"/>
      <c r="AK123" s="522"/>
      <c r="AL123" s="535"/>
      <c r="AM123" s="535"/>
      <c r="AN123" s="535"/>
      <c r="AO123" s="535"/>
      <c r="AP123" s="535"/>
      <c r="AQ123" s="535"/>
      <c r="AR123" s="535"/>
      <c r="AS123" s="158"/>
      <c r="AT123" s="158"/>
      <c r="AU123" s="158"/>
      <c r="AV123" s="158"/>
      <c r="AW123" s="158"/>
      <c r="AX123" s="158"/>
      <c r="AY123" s="158"/>
      <c r="AZ123" s="158"/>
      <c r="BA123" s="158"/>
      <c r="BB123" s="158"/>
      <c r="BC123" s="158"/>
      <c r="BD123" s="158"/>
      <c r="BE123" s="158"/>
      <c r="BF123" s="158"/>
      <c r="BG123" s="158"/>
      <c r="BH123" s="158"/>
      <c r="BI123" s="158"/>
      <c r="BJ123" s="158"/>
    </row>
    <row r="124" spans="2:62" ht="148.5" customHeight="1" x14ac:dyDescent="0.2">
      <c r="B124" s="314"/>
      <c r="C124" s="316"/>
      <c r="D124" s="317"/>
      <c r="E124" s="313"/>
      <c r="F124" s="313"/>
      <c r="G124" s="304"/>
      <c r="H124" s="305"/>
      <c r="I124" s="306"/>
      <c r="J124" s="307"/>
      <c r="K124" s="308"/>
      <c r="L124" s="307">
        <f>IF(NOT(ISERROR(MATCH(K124,_xlfn.ANCHORARRAY(G366),0))),J368&amp;"Por favor no seleccionar los criterios de impacto",K124)</f>
        <v>0</v>
      </c>
      <c r="M124" s="306"/>
      <c r="N124" s="307"/>
      <c r="O124" s="309"/>
      <c r="P124" s="168">
        <v>3</v>
      </c>
      <c r="Q124" s="129" t="s">
        <v>308</v>
      </c>
      <c r="R124" s="169" t="s">
        <v>118</v>
      </c>
      <c r="S124" s="170" t="s">
        <v>133</v>
      </c>
      <c r="T124" s="170" t="s">
        <v>113</v>
      </c>
      <c r="U124" s="171" t="str">
        <f t="shared" si="204"/>
        <v>30%</v>
      </c>
      <c r="V124" s="170" t="s">
        <v>119</v>
      </c>
      <c r="W124" s="170" t="s">
        <v>115</v>
      </c>
      <c r="X124" s="170" t="s">
        <v>134</v>
      </c>
      <c r="Y124" s="172">
        <f>IFERROR(IF(AND(R123="Probabilidad",R124="Probabilidad"),(AA123-(+AA123*U124)),IF(AND(R123="Impacto",R124="Probabilidad"),(AA122-(+AA122*U124)),IF(R124="Impacto",AA123,""))),"")</f>
        <v>5.8799999999999991E-2</v>
      </c>
      <c r="Z124" s="173" t="str">
        <f t="shared" si="205"/>
        <v>Rara vez</v>
      </c>
      <c r="AA124" s="171">
        <f t="shared" si="206"/>
        <v>5.8799999999999991E-2</v>
      </c>
      <c r="AB124" s="173" t="str">
        <f t="shared" si="207"/>
        <v>Catastrófico</v>
      </c>
      <c r="AC124" s="171">
        <f>IFERROR(IF(AND(R123="Impacto",R124="Impacto"),(AC123-(+AC123*U124)),IF(AND(R123="Probabilidad",R124="Impacto"),(AC122-(+AC122*U124)),IF(R124="Probabilidad",AC123,""))),"")</f>
        <v>1</v>
      </c>
      <c r="AD124" s="174" t="str">
        <f>IFERROR(IF(OR(AND(Z124="Rara vez",AB124="Leve"),AND(Z124="Rara vez",AB124="Menor"),AND(Z124="Improbable",AB124="Leve")),"Bajo",IF(OR(AND(Z124="Rara vez",AB124="Moderado"),AND(Z124="Improbable",AB124="Menor"),AND(Z124="Improbable",AB124="Moderado"),AND(Z124="Posible",AB124="Leve"),AND(Z124="Posible",AB124="Menor"),AND(Z124="Posible",AB124="Moderado"),AND(Z124="Probable",AB124="Leve"),AND(Z124="Probable",AB124="Menor")),"Moderado",IF(OR(AND(Z124="Rara vez",AB124="Mayor"),AND(Z124="Improbable",AB124="Mayor"),AND(Z124="Posible",AB124="Mayor"),AND(Z124="Probable",AB124="Moderado"),AND(Z124="Probable",AB124="Mayor"),AND(Z124="Casi Seguro",AB124="Leve"),AND(Z124="Casi Seguro",AB124="Menor"),AND(Z124="Casi Seguro",AB124="Moderado"),AND(Z124="Casi Seguro",AB124="Mayor")),"Alto",IF(OR(AND(Z124="Rara vez",AB124="Catastrófico"),AND(Z124="Improbable",AB124="Catastrófico"),AND(Z124="Posible",AB124="Catastrófico"),AND(Z124="Probable",AB124="Catastrófico"),AND(Z124="Casi Seguro",AB124="Catastrófico")),"Extremo","")))),"")</f>
        <v>Extremo</v>
      </c>
      <c r="AE124" s="196"/>
      <c r="AF124" s="136"/>
      <c r="AG124" s="137"/>
      <c r="AH124" s="131"/>
      <c r="AI124" s="187"/>
      <c r="AJ124" s="188"/>
      <c r="AK124" s="523"/>
      <c r="AL124" s="535"/>
      <c r="AM124" s="535"/>
      <c r="AN124" s="535"/>
      <c r="AO124" s="535"/>
      <c r="AP124" s="535"/>
      <c r="AQ124" s="535"/>
      <c r="AR124" s="535"/>
      <c r="AS124" s="158"/>
      <c r="AT124" s="158"/>
      <c r="AU124" s="158"/>
      <c r="AV124" s="158"/>
      <c r="AW124" s="158"/>
      <c r="AX124" s="158"/>
      <c r="AY124" s="158"/>
      <c r="AZ124" s="158"/>
      <c r="BA124" s="158"/>
      <c r="BB124" s="158"/>
      <c r="BC124" s="158"/>
      <c r="BD124" s="158"/>
      <c r="BE124" s="158"/>
      <c r="BF124" s="158"/>
      <c r="BG124" s="158"/>
      <c r="BH124" s="158"/>
      <c r="BI124" s="158"/>
      <c r="BJ124" s="158"/>
    </row>
    <row r="125" spans="2:62" ht="102" x14ac:dyDescent="0.2">
      <c r="B125" s="314"/>
      <c r="C125" s="316"/>
      <c r="D125" s="317"/>
      <c r="E125" s="313"/>
      <c r="F125" s="313"/>
      <c r="G125" s="304"/>
      <c r="H125" s="305"/>
      <c r="I125" s="306"/>
      <c r="J125" s="307"/>
      <c r="K125" s="308"/>
      <c r="L125" s="307">
        <f>IF(NOT(ISERROR(MATCH(K125,_xlfn.ANCHORARRAY(G367),0))),J369&amp;"Por favor no seleccionar los criterios de impacto",K125)</f>
        <v>0</v>
      </c>
      <c r="M125" s="306"/>
      <c r="N125" s="307"/>
      <c r="O125" s="309"/>
      <c r="P125" s="168">
        <v>4</v>
      </c>
      <c r="Q125" s="135" t="s">
        <v>309</v>
      </c>
      <c r="R125" s="169" t="s">
        <v>118</v>
      </c>
      <c r="S125" s="170" t="s">
        <v>133</v>
      </c>
      <c r="T125" s="170" t="s">
        <v>113</v>
      </c>
      <c r="U125" s="171" t="str">
        <f t="shared" si="204"/>
        <v>30%</v>
      </c>
      <c r="V125" s="170" t="s">
        <v>119</v>
      </c>
      <c r="W125" s="170" t="s">
        <v>115</v>
      </c>
      <c r="X125" s="170" t="s">
        <v>134</v>
      </c>
      <c r="Y125" s="172">
        <f t="shared" ref="Y125:Y126" si="208">IFERROR(IF(AND(R124="Probabilidad",R125="Probabilidad"),(AA124-(+AA124*U125)),IF(AND(R124="Impacto",R125="Probabilidad"),(AA123-(+AA123*U125)),IF(R125="Impacto",AA124,""))),"")</f>
        <v>4.1159999999999995E-2</v>
      </c>
      <c r="Z125" s="173" t="str">
        <f t="shared" si="205"/>
        <v>Rara vez</v>
      </c>
      <c r="AA125" s="171">
        <f t="shared" si="206"/>
        <v>4.1159999999999995E-2</v>
      </c>
      <c r="AB125" s="173" t="str">
        <f t="shared" si="207"/>
        <v>Catastrófico</v>
      </c>
      <c r="AC125" s="171">
        <f t="shared" ref="AC125:AC126" si="209">IFERROR(IF(AND(R124="Impacto",R125="Impacto"),(AC124-(+AC124*U125)),IF(AND(R124="Probabilidad",R125="Impacto"),(AC123-(+AC123*U125)),IF(R125="Probabilidad",AC124,""))),"")</f>
        <v>1</v>
      </c>
      <c r="AD125" s="174" t="str">
        <f t="shared" ref="AD125:AD127" si="210">IFERROR(IF(OR(AND(Z125="Rara vez",AB125="Leve"),AND(Z125="Rara vez",AB125="Menor"),AND(Z125="Improbable",AB125="Leve")),"Bajo",IF(OR(AND(Z125="Rara vez",AB125="Moderado"),AND(Z125="Improbable",AB125="Menor"),AND(Z125="Improbable",AB125="Moderado"),AND(Z125="Posible",AB125="Leve"),AND(Z125="Posible",AB125="Menor"),AND(Z125="Posible",AB125="Moderado"),AND(Z125="Probable",AB125="Leve"),AND(Z125="Probable",AB125="Menor")),"Moderado",IF(OR(AND(Z125="Rara vez",AB125="Mayor"),AND(Z125="Improbable",AB125="Mayor"),AND(Z125="Posible",AB125="Mayor"),AND(Z125="Probable",AB125="Moderado"),AND(Z125="Probable",AB125="Mayor"),AND(Z125="Casi Seguro",AB125="Leve"),AND(Z125="Casi Seguro",AB125="Menor"),AND(Z125="Casi Seguro",AB125="Moderado"),AND(Z125="Casi Seguro",AB125="Mayor")),"Alto",IF(OR(AND(Z125="Rara vez",AB125="Catastrófico"),AND(Z125="Improbable",AB125="Catastrófico"),AND(Z125="Posible",AB125="Catastrófico"),AND(Z125="Probable",AB125="Catastrófico"),AND(Z125="Casi Seguro",AB125="Catastrófico")),"Extremo","")))),"")</f>
        <v>Extremo</v>
      </c>
      <c r="AE125" s="170"/>
      <c r="AF125" s="136"/>
      <c r="AG125" s="203"/>
      <c r="AH125" s="202"/>
      <c r="AI125" s="136"/>
      <c r="AJ125" s="200"/>
      <c r="AK125" s="524"/>
      <c r="AL125" s="535"/>
      <c r="AM125" s="535"/>
      <c r="AN125" s="535"/>
      <c r="AO125" s="535"/>
      <c r="AP125" s="535"/>
      <c r="AQ125" s="535"/>
      <c r="AR125" s="535"/>
      <c r="AS125" s="158"/>
      <c r="AT125" s="158"/>
      <c r="AU125" s="158"/>
      <c r="AV125" s="158"/>
      <c r="AW125" s="158"/>
      <c r="AX125" s="158"/>
      <c r="AY125" s="158"/>
      <c r="AZ125" s="158"/>
      <c r="BA125" s="158"/>
      <c r="BB125" s="158"/>
      <c r="BC125" s="158"/>
      <c r="BD125" s="158"/>
      <c r="BE125" s="158"/>
      <c r="BF125" s="158"/>
      <c r="BG125" s="158"/>
      <c r="BH125" s="158"/>
      <c r="BI125" s="158"/>
      <c r="BJ125" s="158"/>
    </row>
    <row r="126" spans="2:62" ht="114.75" x14ac:dyDescent="0.2">
      <c r="B126" s="314"/>
      <c r="C126" s="316"/>
      <c r="D126" s="317"/>
      <c r="E126" s="313"/>
      <c r="F126" s="313"/>
      <c r="G126" s="304"/>
      <c r="H126" s="305"/>
      <c r="I126" s="306"/>
      <c r="J126" s="307"/>
      <c r="K126" s="308"/>
      <c r="L126" s="307">
        <f>IF(NOT(ISERROR(MATCH(K126,_xlfn.ANCHORARRAY(G368),0))),J370&amp;"Por favor no seleccionar los criterios de impacto",K126)</f>
        <v>0</v>
      </c>
      <c r="M126" s="306"/>
      <c r="N126" s="307"/>
      <c r="O126" s="309"/>
      <c r="P126" s="168">
        <v>5</v>
      </c>
      <c r="Q126" s="127" t="s">
        <v>310</v>
      </c>
      <c r="R126" s="169" t="s">
        <v>118</v>
      </c>
      <c r="S126" s="170" t="s">
        <v>133</v>
      </c>
      <c r="T126" s="170" t="s">
        <v>113</v>
      </c>
      <c r="U126" s="171" t="str">
        <f t="shared" ref="U126:U127" si="211">IF(AND(S126="Preventivo",T126="Automático"),"50%",IF(AND(S126="Preventivo",T126="Manual"),"40%",IF(AND(S126="Detectivo",T126="Automático"),"40%",IF(AND(S126="Detectivo",T126="Manual"),"30%",IF(AND(S126="Correctivo",T126="Automático"),"35%",IF(AND(S126="Correctivo",T126="Manual"),"25%",""))))))</f>
        <v>30%</v>
      </c>
      <c r="V126" s="170" t="s">
        <v>119</v>
      </c>
      <c r="W126" s="170" t="s">
        <v>115</v>
      </c>
      <c r="X126" s="170" t="s">
        <v>134</v>
      </c>
      <c r="Y126" s="172">
        <f t="shared" si="208"/>
        <v>2.8811999999999997E-2</v>
      </c>
      <c r="Z126" s="173" t="str">
        <f t="shared" si="205"/>
        <v>Rara vez</v>
      </c>
      <c r="AA126" s="171">
        <f t="shared" si="206"/>
        <v>2.8811999999999997E-2</v>
      </c>
      <c r="AB126" s="173" t="str">
        <f t="shared" si="207"/>
        <v>Catastrófico</v>
      </c>
      <c r="AC126" s="171">
        <f t="shared" si="209"/>
        <v>1</v>
      </c>
      <c r="AD126" s="174" t="str">
        <f t="shared" si="210"/>
        <v>Extremo</v>
      </c>
      <c r="AE126" s="179"/>
      <c r="AF126" s="192"/>
      <c r="AG126" s="193"/>
      <c r="AH126" s="176"/>
      <c r="AI126" s="176"/>
      <c r="AJ126" s="177"/>
      <c r="AK126" s="522"/>
      <c r="AL126" s="535"/>
      <c r="AM126" s="535"/>
      <c r="AN126" s="535"/>
      <c r="AO126" s="535"/>
      <c r="AP126" s="535"/>
      <c r="AQ126" s="535"/>
      <c r="AR126" s="535"/>
      <c r="AS126" s="158"/>
      <c r="AT126" s="158"/>
      <c r="AU126" s="158"/>
      <c r="AV126" s="158"/>
      <c r="AW126" s="158"/>
      <c r="AX126" s="158"/>
      <c r="AY126" s="158"/>
      <c r="AZ126" s="158"/>
      <c r="BA126" s="158"/>
      <c r="BB126" s="158"/>
      <c r="BC126" s="158"/>
      <c r="BD126" s="158"/>
      <c r="BE126" s="158"/>
      <c r="BF126" s="158"/>
      <c r="BG126" s="158"/>
      <c r="BH126" s="158"/>
      <c r="BI126" s="158"/>
      <c r="BJ126" s="158"/>
    </row>
    <row r="127" spans="2:62" ht="114.75" x14ac:dyDescent="0.2">
      <c r="B127" s="314"/>
      <c r="C127" s="320"/>
      <c r="D127" s="317"/>
      <c r="E127" s="313"/>
      <c r="F127" s="313"/>
      <c r="G127" s="304"/>
      <c r="H127" s="305"/>
      <c r="I127" s="306"/>
      <c r="J127" s="307"/>
      <c r="K127" s="308"/>
      <c r="L127" s="307">
        <f>IF(NOT(ISERROR(MATCH(K127,_xlfn.ANCHORARRAY(G369),0))),J371&amp;"Por favor no seleccionar los criterios de impacto",K127)</f>
        <v>0</v>
      </c>
      <c r="M127" s="306"/>
      <c r="N127" s="307"/>
      <c r="O127" s="309"/>
      <c r="P127" s="168">
        <v>6</v>
      </c>
      <c r="Q127" s="127" t="s">
        <v>311</v>
      </c>
      <c r="R127" s="169" t="s">
        <v>118</v>
      </c>
      <c r="S127" s="170" t="s">
        <v>133</v>
      </c>
      <c r="T127" s="170" t="s">
        <v>113</v>
      </c>
      <c r="U127" s="171" t="str">
        <f t="shared" si="211"/>
        <v>30%</v>
      </c>
      <c r="V127" s="170" t="s">
        <v>119</v>
      </c>
      <c r="W127" s="170" t="s">
        <v>115</v>
      </c>
      <c r="X127" s="170" t="s">
        <v>134</v>
      </c>
      <c r="Y127" s="172">
        <f t="shared" ref="Y127" si="212">IFERROR(IF(AND(R126="Probabilidad",R127="Probabilidad"),(AA126-(+AA126*U127)),IF(AND(R126="Impacto",R127="Probabilidad"),(AA125-(+AA125*U127)),IF(R127="Impacto",AA126,""))),"")</f>
        <v>2.0168399999999996E-2</v>
      </c>
      <c r="Z127" s="173" t="str">
        <f t="shared" ref="Z127" si="213">IFERROR(IF(Y127="","",IF(Y127&lt;=0.2,"Rara vez",IF(Y127&lt;=0.4,"Improbable",IF(Y127&lt;=0.6,"Posible",IF(Y127&lt;=0.8,"Probable","Casi Seguro"))))),"")</f>
        <v>Rara vez</v>
      </c>
      <c r="AA127" s="171">
        <f t="shared" ref="AA127" si="214">+Y127</f>
        <v>2.0168399999999996E-2</v>
      </c>
      <c r="AB127" s="173" t="str">
        <f t="shared" ref="AB127" si="215">IFERROR(IF(AC127="","",IF(AC127&lt;=0.6,"Moderado",IF(AC127&lt;=0.8,"Mayor","Catastrófico"))),"")</f>
        <v>Catastrófico</v>
      </c>
      <c r="AC127" s="171">
        <f t="shared" ref="AC127" si="216">IFERROR(IF(AND(R126="Impacto",R127="Impacto"),(AC126-(+AC126*U127)),IF(AND(R126="Probabilidad",R127="Impacto"),(AC125-(+AC125*U127)),IF(R127="Probabilidad",AC126,""))),"")</f>
        <v>1</v>
      </c>
      <c r="AD127" s="174" t="str">
        <f t="shared" si="210"/>
        <v>Extremo</v>
      </c>
      <c r="AE127" s="170" t="s">
        <v>120</v>
      </c>
      <c r="AF127" s="136" t="s">
        <v>312</v>
      </c>
      <c r="AG127" s="136" t="s">
        <v>302</v>
      </c>
      <c r="AH127" s="131">
        <v>45657</v>
      </c>
      <c r="AI127" s="131">
        <v>45688</v>
      </c>
      <c r="AJ127" s="177"/>
      <c r="AK127" s="523" t="s">
        <v>123</v>
      </c>
      <c r="AL127" s="535"/>
      <c r="AM127" s="535"/>
      <c r="AN127" s="535"/>
      <c r="AO127" s="535"/>
      <c r="AP127" s="535"/>
      <c r="AQ127" s="535"/>
      <c r="AR127" s="535"/>
      <c r="AS127" s="158"/>
      <c r="AT127" s="158"/>
      <c r="AU127" s="158"/>
      <c r="AV127" s="158"/>
      <c r="AW127" s="158"/>
      <c r="AX127" s="158"/>
      <c r="AY127" s="158"/>
      <c r="AZ127" s="158"/>
      <c r="BA127" s="158"/>
      <c r="BB127" s="158"/>
      <c r="BC127" s="158"/>
      <c r="BD127" s="158"/>
      <c r="BE127" s="158"/>
      <c r="BF127" s="158"/>
      <c r="BG127" s="158"/>
      <c r="BH127" s="158"/>
      <c r="BI127" s="158"/>
      <c r="BJ127" s="158"/>
    </row>
    <row r="128" spans="2:62" s="163" customFormat="1" ht="65.25" x14ac:dyDescent="0.25">
      <c r="B128" s="314" t="s">
        <v>313</v>
      </c>
      <c r="C128" s="315" t="s">
        <v>314</v>
      </c>
      <c r="D128" s="317" t="s">
        <v>315</v>
      </c>
      <c r="E128" s="313" t="s">
        <v>127</v>
      </c>
      <c r="F128" s="313" t="s">
        <v>316</v>
      </c>
      <c r="G128" s="304" t="s">
        <v>317</v>
      </c>
      <c r="H128" s="305" t="s">
        <v>130</v>
      </c>
      <c r="I128" s="306" t="str">
        <f>IF(H128&lt;=0,"",IF(H128="No se ha presentado en los últimos 5 años","Rara vez",IF(H128="Al menos 1 vez en los últimos 5 años","Improbable",IF(H128="Al menos 1 vez en los últimos 2 años","Posible",IF(H128="Al menos 1 vez en el último año","Probable",IF(H128="Más de 1 vez al año","Casi Seguro"))))))</f>
        <v>Improbable</v>
      </c>
      <c r="J128" s="307">
        <f>IF(I128="","",IF(I128="Rara vez",0.2,IF(I128="Improbable",0.4,IF(I128="Posible",0.6,IF(I128="Probable",0.8,IF(I128="Casi Seguro",1,))))))</f>
        <v>0.4</v>
      </c>
      <c r="K128" s="308" t="s">
        <v>131</v>
      </c>
      <c r="L128" s="307" t="str">
        <f>IF(NOT(ISERROR(MATCH(K128,'Tabla Impacto'!$B$220:$B$222,0))),'Tabla Impacto'!$F$222&amp;"Por favor no seleccionar los criterios de impacto(Criterios para calificar el impacto)",K128)</f>
        <v xml:space="preserve">Responder afirmativamente de DOCE a DIECINUEVE </v>
      </c>
      <c r="M128" s="306" t="str">
        <f>IF(OR(L128='Tabla Impacto'!$C$5),"Moderado",IF(OR(L128='Tabla Impacto'!$C$6),"Mayor",IF(OR(L128='Tabla Impacto'!$C$7),"Catastrófico","")))</f>
        <v>Catastrófico</v>
      </c>
      <c r="N128" s="307">
        <f>IF(M128="","",IF(M128="Leve",0.2,IF(M128="Menor",0.4,IF(M128="Moderado",0.6,IF(M128="Mayor",0.8,IF(M128="Catastrófico",1,))))))</f>
        <v>1</v>
      </c>
      <c r="O128" s="309" t="str">
        <f>IF(OR(AND(I128="Rara vez",M128="Leve"),AND(I128="Rara vez",M128="Menor"),AND(I128="Improbable",M128="Leve")),"Bajo",IF(OR(AND(I128="Rara vez",M128="Moderado"),AND(I128="Improbable",M128="Menor"),AND(I128="Improbable",M128="Moderado"),AND(I128="Posible",M128="Leve"),AND(I128="Posible",M128="Menor"),AND(I128="Posible",M128="Moderado"),AND(I128="Probable",M128="Leve"),AND(I128="Probable",M128="Menor")),"Moderado",IF(OR(AND(I128="Rara vez",M128="Mayor"),AND(I128="Improbable",M128="Mayor"),AND(I128="Posible",M128="Mayor"),AND(I128="Probable",M128="Moderado"),AND(I128="Probable",M128="Mayor"),AND(I128="Casi Seguro",M128="Leve"),AND(I128="Casi Seguro",M128="Menor"),AND(I128="Casi Seguro",M128="Moderado"),AND(I128="Casi Seguro",M128="Mayor")),"Alto",IF(OR(AND(I128="Rara vez",M128="Catastrófico"),AND(I128="Improbable",M128="Catastrófico"),AND(I128="Posible",M128="Catastrófico"),AND(I128="Probable",M128="Catastrófico"),AND(I128="Casi Seguro",M128="Catastrófico")),"Extremo",""))))</f>
        <v>Extremo</v>
      </c>
      <c r="P128" s="168">
        <v>1</v>
      </c>
      <c r="Q128" s="129" t="s">
        <v>318</v>
      </c>
      <c r="R128" s="169" t="str">
        <f>IF(OR(S128="Preventivo",S128="Detectivo"),"Probabilidad",IF(S128="Correctivo","Impacto",""))</f>
        <v>Probabilidad</v>
      </c>
      <c r="S128" s="170" t="s">
        <v>133</v>
      </c>
      <c r="T128" s="170" t="s">
        <v>113</v>
      </c>
      <c r="U128" s="171" t="str">
        <f>IF(AND(S128="Preventivo",T128="Automático"),"50%",IF(AND(S128="Preventivo",T128="Manual"),"40%",IF(AND(S128="Detectivo",T128="Automático"),"40%",IF(AND(S128="Detectivo",T128="Manual"),"30%",IF(AND(S128="Correctivo",T128="Automático"),"35%",IF(AND(S128="Correctivo",T128="Manual"),"25%",""))))))</f>
        <v>30%</v>
      </c>
      <c r="V128" s="170" t="s">
        <v>119</v>
      </c>
      <c r="W128" s="170" t="s">
        <v>319</v>
      </c>
      <c r="X128" s="170" t="s">
        <v>134</v>
      </c>
      <c r="Y128" s="172">
        <f>IFERROR(IF(R128="Probabilidad",(J128-(+J128*U128)),IF(R128="Impacto",J128,"")),"")</f>
        <v>0.28000000000000003</v>
      </c>
      <c r="Z128" s="173" t="str">
        <f>IFERROR(IF(Y128="","",IF(Y128&lt;=0.2,"Rara vez",IF(Y128&lt;=0.4,"Improbable",IF(Y128&lt;=0.6,"Posible",IF(Y128&lt;=0.8,"Probable","Casi Seguro"))))),"")</f>
        <v>Improbable</v>
      </c>
      <c r="AA128" s="171">
        <f>+Y128</f>
        <v>0.28000000000000003</v>
      </c>
      <c r="AB128" s="173" t="str">
        <f>IFERROR(IF(AC128="","",IF(AC128&lt;=0.6,"Moderado",IF(AC128&lt;=0.8,"Mayor","Catastrófico"))),"")</f>
        <v>Catastrófico</v>
      </c>
      <c r="AC128" s="171">
        <f>IFERROR(IF(R128="Impacto",(N128-(+N128*U128)),IF(R128="Probabilidad",N128,"")),"")</f>
        <v>1</v>
      </c>
      <c r="AD128" s="174" t="str">
        <f>IFERROR(IF(OR(AND(Z128="Rara vez",AB128="Leve"),AND(Z128="Rara vez",AB128="Menor"),AND(Z128="Improbable",AB128="Leve")),"Bajo",IF(OR(AND(Z128="Rara vez",AB128="Moderado"),AND(Z128="Improbable",AB128="Menor"),AND(Z128="Improbable",AB128="Moderado"),AND(Z128="Posible",AB128="Leve"),AND(Z128="Posible",AB128="Menor"),AND(Z128="Posible",AB128="Moderado"),AND(Z128="Probable",AB128="Leve"),AND(Z128="Probable",AB128="Menor")),"Moderado",IF(OR(AND(Z128="Rara vez",AB128="Mayor"),AND(Z128="Improbable",AB128="Mayor"),AND(Z128="Posible",AB128="Mayor"),AND(Z128="Probable",AB128="Moderado"),AND(Z128="Probable",AB128="Mayor"),AND(Z128="Casi Seguro",AB128="Leve"),AND(Z128="Casi Seguro",AB128="Menor"),AND(Z128="Casi Seguro",AB128="Moderado"),AND(Z128="Casi Seguro",AB128="Mayor")),"Alto",IF(OR(AND(Z128="Rara vez",AB128="Catastrófico"),AND(Z128="Improbable",AB128="Catastrófico"),AND(Z128="Posible",AB128="Catastrófico"),AND(Z128="Probable",AB128="Catastrófico"),AND(Z128="Casi Seguro",AB128="Catastrófico")),"Extremo","")))),"")</f>
        <v>Extremo</v>
      </c>
      <c r="AE128" s="170"/>
      <c r="AF128" s="123"/>
      <c r="AG128" s="123"/>
      <c r="AH128" s="175"/>
      <c r="AI128" s="176"/>
      <c r="AJ128" s="177"/>
      <c r="AK128" s="522"/>
      <c r="AL128" s="534"/>
      <c r="AM128" s="534"/>
      <c r="AN128" s="534"/>
      <c r="AO128" s="534"/>
      <c r="AP128" s="534"/>
      <c r="AQ128" s="534"/>
      <c r="AR128" s="534"/>
      <c r="AS128" s="178"/>
      <c r="AT128" s="178"/>
      <c r="AU128" s="178"/>
      <c r="AV128" s="178"/>
      <c r="AW128" s="178"/>
      <c r="AX128" s="178"/>
      <c r="AY128" s="178"/>
      <c r="AZ128" s="178"/>
      <c r="BA128" s="178"/>
      <c r="BB128" s="178"/>
      <c r="BC128" s="178"/>
      <c r="BD128" s="178"/>
      <c r="BE128" s="178"/>
      <c r="BF128" s="178"/>
      <c r="BG128" s="178"/>
      <c r="BH128" s="178"/>
      <c r="BI128" s="178"/>
      <c r="BJ128" s="178"/>
    </row>
    <row r="129" spans="2:62" ht="105" customHeight="1" x14ac:dyDescent="0.2">
      <c r="B129" s="314"/>
      <c r="C129" s="316"/>
      <c r="D129" s="317"/>
      <c r="E129" s="313"/>
      <c r="F129" s="313"/>
      <c r="G129" s="304"/>
      <c r="H129" s="305"/>
      <c r="I129" s="306"/>
      <c r="J129" s="307"/>
      <c r="K129" s="308"/>
      <c r="L129" s="307">
        <f>IF(NOT(ISERROR(MATCH(K129,_xlfn.ANCHORARRAY(G371),0))),J373&amp;"Por favor no seleccionar los criterios de impacto",K129)</f>
        <v>0</v>
      </c>
      <c r="M129" s="306"/>
      <c r="N129" s="307"/>
      <c r="O129" s="309"/>
      <c r="P129" s="168">
        <v>2</v>
      </c>
      <c r="Q129" s="129" t="s">
        <v>320</v>
      </c>
      <c r="R129" s="169" t="str">
        <f>IF(OR(S129="Preventivo",S129="Detectivo"),"Probabilidad",IF(S129="Correctivo","Impacto",""))</f>
        <v>Probabilidad</v>
      </c>
      <c r="S129" s="170" t="s">
        <v>133</v>
      </c>
      <c r="T129" s="170" t="s">
        <v>113</v>
      </c>
      <c r="U129" s="171" t="str">
        <f t="shared" ref="U129:U131" si="217">IF(AND(S129="Preventivo",T129="Automático"),"50%",IF(AND(S129="Preventivo",T129="Manual"),"40%",IF(AND(S129="Detectivo",T129="Automático"),"40%",IF(AND(S129="Detectivo",T129="Manual"),"30%",IF(AND(S129="Correctivo",T129="Automático"),"35%",IF(AND(S129="Correctivo",T129="Manual"),"25%",""))))))</f>
        <v>30%</v>
      </c>
      <c r="V129" s="170" t="s">
        <v>119</v>
      </c>
      <c r="W129" s="170" t="s">
        <v>115</v>
      </c>
      <c r="X129" s="170" t="s">
        <v>134</v>
      </c>
      <c r="Y129" s="172">
        <f>IFERROR(IF(AND(R128="Probabilidad",R129="Probabilidad"),(AA128-(+AA128*U129)),IF(R129="Probabilidad",(J128-(+J128*U129)),IF(R129="Impacto",AA128,""))),"")</f>
        <v>0.19600000000000001</v>
      </c>
      <c r="Z129" s="173" t="str">
        <f t="shared" ref="Z129:Z131" si="218">IFERROR(IF(Y129="","",IF(Y129&lt;=0.2,"Rara vez",IF(Y129&lt;=0.4,"Improbable",IF(Y129&lt;=0.6,"Posible",IF(Y129&lt;=0.8,"Probable","Casi Seguro"))))),"")</f>
        <v>Rara vez</v>
      </c>
      <c r="AA129" s="171">
        <f t="shared" ref="AA129:AA131" si="219">+Y129</f>
        <v>0.19600000000000001</v>
      </c>
      <c r="AB129" s="173" t="str">
        <f t="shared" ref="AB129:AB131" si="220">IFERROR(IF(AC129="","",IF(AC129&lt;=0.6,"Moderado",IF(AC129&lt;=0.8,"Mayor","Catastrófico"))),"")</f>
        <v>Catastrófico</v>
      </c>
      <c r="AC129" s="171">
        <f>IFERROR(IF(AND(R128="Impacto",R129="Impacto"),(AC128-(+AC128*U129)),IF(R129="Impacto",(N128-(+N128*U129)),IF(R129="Probabilidad",AC128,""))),"")</f>
        <v>1</v>
      </c>
      <c r="AD129" s="174" t="str">
        <f>IFERROR(IF(OR(AND(Z129="Rara vez",AB129="Leve"),AND(Z129="Rara vez",AB129="Menor"),AND(Z129="Improbable",AB129="Leve")),"Bajo",IF(OR(AND(Z129="Rara vez",AB129="Moderado"),AND(Z129="Improbable",AB129="Menor"),AND(Z129="Improbable",AB129="Moderado"),AND(Z129="Posible",AB129="Leve"),AND(Z129="Posible",AB129="Menor"),AND(Z129="Posible",AB129="Moderado"),AND(Z129="Probable",AB129="Leve"),AND(Z129="Probable",AB129="Menor")),"Moderado",IF(OR(AND(Z129="Rara vez",AB129="Mayor"),AND(Z129="Improbable",AB129="Mayor"),AND(Z129="Posible",AB129="Mayor"),AND(Z129="Probable",AB129="Moderado"),AND(Z129="Probable",AB129="Mayor"),AND(Z129="Casi Seguro",AB129="Leve"),AND(Z129="Casi Seguro",AB129="Menor"),AND(Z129="Casi Seguro",AB129="Moderado"),AND(Z129="Casi Seguro",AB129="Mayor")),"Alto",IF(OR(AND(Z129="Rara vez",AB129="Catastrófico"),AND(Z129="Improbable",AB129="Catastrófico"),AND(Z129="Posible",AB129="Catastrófico"),AND(Z129="Probable",AB129="Catastrófico"),AND(Z129="Casi Seguro",AB129="Catastrófico")),"Extremo","")))),"")</f>
        <v>Extremo</v>
      </c>
      <c r="AE129" s="170"/>
      <c r="AF129" s="132"/>
      <c r="AG129" s="194"/>
      <c r="AH129" s="195"/>
      <c r="AI129" s="176"/>
      <c r="AJ129" s="181"/>
      <c r="AK129" s="522"/>
      <c r="AL129" s="535"/>
      <c r="AM129" s="535"/>
      <c r="AN129" s="535"/>
      <c r="AO129" s="535"/>
      <c r="AP129" s="535"/>
      <c r="AQ129" s="535"/>
      <c r="AR129" s="535"/>
      <c r="AS129" s="158"/>
      <c r="AT129" s="158"/>
      <c r="AU129" s="158"/>
      <c r="AV129" s="158"/>
      <c r="AW129" s="158"/>
      <c r="AX129" s="158"/>
      <c r="AY129" s="158"/>
      <c r="AZ129" s="158"/>
      <c r="BA129" s="158"/>
      <c r="BB129" s="158"/>
      <c r="BC129" s="158"/>
      <c r="BD129" s="158"/>
      <c r="BE129" s="158"/>
      <c r="BF129" s="158"/>
      <c r="BG129" s="158"/>
      <c r="BH129" s="158"/>
      <c r="BI129" s="158"/>
      <c r="BJ129" s="158"/>
    </row>
    <row r="130" spans="2:62" ht="89.25" x14ac:dyDescent="0.2">
      <c r="B130" s="314"/>
      <c r="C130" s="316"/>
      <c r="D130" s="317"/>
      <c r="E130" s="313"/>
      <c r="F130" s="313"/>
      <c r="G130" s="304"/>
      <c r="H130" s="305"/>
      <c r="I130" s="306"/>
      <c r="J130" s="307"/>
      <c r="K130" s="308"/>
      <c r="L130" s="307">
        <f>IF(NOT(ISERROR(MATCH(K130,_xlfn.ANCHORARRAY(G372),0))),J374&amp;"Por favor no seleccionar los criterios de impacto",K130)</f>
        <v>0</v>
      </c>
      <c r="M130" s="306"/>
      <c r="N130" s="307"/>
      <c r="O130" s="309"/>
      <c r="P130" s="168">
        <v>3</v>
      </c>
      <c r="Q130" s="138" t="s">
        <v>321</v>
      </c>
      <c r="R130" s="169" t="s">
        <v>118</v>
      </c>
      <c r="S130" s="170" t="s">
        <v>112</v>
      </c>
      <c r="T130" s="170" t="s">
        <v>113</v>
      </c>
      <c r="U130" s="171" t="str">
        <f t="shared" si="217"/>
        <v>40%</v>
      </c>
      <c r="V130" s="170" t="s">
        <v>114</v>
      </c>
      <c r="W130" s="170" t="s">
        <v>115</v>
      </c>
      <c r="X130" s="170" t="s">
        <v>116</v>
      </c>
      <c r="Y130" s="172">
        <f t="shared" ref="Y130:Y131" si="221">IFERROR(IF(AND(R129="Probabilidad",R130="Probabilidad"),(AA129-(+AA129*U130)),IF(R130="Probabilidad",(J129-(+J129*U130)),IF(R130="Impacto",AA129,""))),"")</f>
        <v>0.1176</v>
      </c>
      <c r="Z130" s="173" t="str">
        <f t="shared" si="218"/>
        <v>Rara vez</v>
      </c>
      <c r="AA130" s="171">
        <f t="shared" si="219"/>
        <v>0.1176</v>
      </c>
      <c r="AB130" s="173" t="str">
        <f t="shared" si="220"/>
        <v>Catastrófico</v>
      </c>
      <c r="AC130" s="171">
        <f t="shared" ref="AC130:AC131" si="222">IFERROR(IF(AND(R129="Impacto",R130="Impacto"),(AC129-(+AC129*U130)),IF(R130="Impacto",(N129-(+N129*U130)),IF(R130="Probabilidad",AC129,""))),"")</f>
        <v>1</v>
      </c>
      <c r="AD130" s="174" t="str">
        <f t="shared" ref="AD130:AD131" si="223">IFERROR(IF(OR(AND(Z130="Rara vez",AB130="Leve"),AND(Z130="Rara vez",AB130="Menor"),AND(Z130="Improbable",AB130="Leve")),"Bajo",IF(OR(AND(Z130="Rara vez",AB130="Moderado"),AND(Z130="Improbable",AB130="Menor"),AND(Z130="Improbable",AB130="Moderado"),AND(Z130="Posible",AB130="Leve"),AND(Z130="Posible",AB130="Menor"),AND(Z130="Posible",AB130="Moderado"),AND(Z130="Probable",AB130="Leve"),AND(Z130="Probable",AB130="Menor")),"Moderado",IF(OR(AND(Z130="Rara vez",AB130="Mayor"),AND(Z130="Improbable",AB130="Mayor"),AND(Z130="Posible",AB130="Mayor"),AND(Z130="Probable",AB130="Moderado"),AND(Z130="Probable",AB130="Mayor"),AND(Z130="Casi Seguro",AB130="Leve"),AND(Z130="Casi Seguro",AB130="Menor"),AND(Z130="Casi Seguro",AB130="Moderado"),AND(Z130="Casi Seguro",AB130="Mayor")),"Alto",IF(OR(AND(Z130="Rara vez",AB130="Catastrófico"),AND(Z130="Improbable",AB130="Catastrófico"),AND(Z130="Posible",AB130="Catastrófico"),AND(Z130="Probable",AB130="Catastrófico"),AND(Z130="Casi Seguro",AB130="Catastrófico")),"Extremo","")))),"")</f>
        <v>Extremo</v>
      </c>
      <c r="AE130" s="196"/>
      <c r="AF130" s="136"/>
      <c r="AG130" s="137"/>
      <c r="AH130" s="131"/>
      <c r="AI130" s="187"/>
      <c r="AJ130" s="188"/>
      <c r="AK130" s="523"/>
      <c r="AL130" s="535"/>
      <c r="AM130" s="535"/>
      <c r="AN130" s="535"/>
      <c r="AO130" s="535"/>
      <c r="AP130" s="535"/>
      <c r="AQ130" s="535"/>
      <c r="AR130" s="535"/>
      <c r="AS130" s="158"/>
      <c r="AT130" s="158"/>
      <c r="AU130" s="158"/>
      <c r="AV130" s="158"/>
      <c r="AW130" s="158"/>
      <c r="AX130" s="158"/>
      <c r="AY130" s="158"/>
      <c r="AZ130" s="158"/>
      <c r="BA130" s="158"/>
      <c r="BB130" s="158"/>
      <c r="BC130" s="158"/>
      <c r="BD130" s="158"/>
      <c r="BE130" s="158"/>
      <c r="BF130" s="158"/>
      <c r="BG130" s="158"/>
      <c r="BH130" s="158"/>
      <c r="BI130" s="158"/>
      <c r="BJ130" s="158"/>
    </row>
    <row r="131" spans="2:62" ht="89.25" x14ac:dyDescent="0.2">
      <c r="B131" s="314"/>
      <c r="C131" s="316"/>
      <c r="D131" s="317"/>
      <c r="E131" s="313"/>
      <c r="F131" s="313"/>
      <c r="G131" s="304"/>
      <c r="H131" s="305"/>
      <c r="I131" s="306"/>
      <c r="J131" s="307"/>
      <c r="K131" s="308"/>
      <c r="L131" s="307">
        <f>IF(NOT(ISERROR(MATCH(K131,_xlfn.ANCHORARRAY(G373),0))),J375&amp;"Por favor no seleccionar los criterios de impacto",K131)</f>
        <v>0</v>
      </c>
      <c r="M131" s="306"/>
      <c r="N131" s="307"/>
      <c r="O131" s="309"/>
      <c r="P131" s="168">
        <v>4</v>
      </c>
      <c r="Q131" s="138" t="s">
        <v>322</v>
      </c>
      <c r="R131" s="169" t="s">
        <v>118</v>
      </c>
      <c r="S131" s="170" t="s">
        <v>112</v>
      </c>
      <c r="T131" s="170" t="s">
        <v>113</v>
      </c>
      <c r="U131" s="171" t="str">
        <f t="shared" si="217"/>
        <v>40%</v>
      </c>
      <c r="V131" s="170" t="s">
        <v>114</v>
      </c>
      <c r="W131" s="170" t="s">
        <v>115</v>
      </c>
      <c r="X131" s="170" t="s">
        <v>116</v>
      </c>
      <c r="Y131" s="172">
        <f t="shared" si="221"/>
        <v>7.0559999999999998E-2</v>
      </c>
      <c r="Z131" s="173" t="str">
        <f t="shared" si="218"/>
        <v>Rara vez</v>
      </c>
      <c r="AA131" s="171">
        <f t="shared" si="219"/>
        <v>7.0559999999999998E-2</v>
      </c>
      <c r="AB131" s="173" t="str">
        <f t="shared" si="220"/>
        <v>Catastrófico</v>
      </c>
      <c r="AC131" s="171">
        <f t="shared" si="222"/>
        <v>1</v>
      </c>
      <c r="AD131" s="174" t="str">
        <f t="shared" si="223"/>
        <v>Extremo</v>
      </c>
      <c r="AE131" s="170" t="s">
        <v>120</v>
      </c>
      <c r="AF131" s="136"/>
      <c r="AG131" s="203"/>
      <c r="AH131" s="202"/>
      <c r="AI131" s="136"/>
      <c r="AJ131" s="200"/>
      <c r="AK131" s="524"/>
      <c r="AL131" s="535"/>
      <c r="AM131" s="535"/>
      <c r="AN131" s="535"/>
      <c r="AO131" s="535"/>
      <c r="AP131" s="535"/>
      <c r="AQ131" s="535"/>
      <c r="AR131" s="535"/>
      <c r="AS131" s="158"/>
      <c r="AT131" s="158"/>
      <c r="AU131" s="158"/>
      <c r="AV131" s="158"/>
      <c r="AW131" s="158"/>
      <c r="AX131" s="158"/>
      <c r="AY131" s="158"/>
      <c r="AZ131" s="158"/>
      <c r="BA131" s="158"/>
      <c r="BB131" s="158"/>
      <c r="BC131" s="158"/>
      <c r="BD131" s="158"/>
      <c r="BE131" s="158"/>
      <c r="BF131" s="158"/>
      <c r="BG131" s="158"/>
      <c r="BH131" s="158"/>
      <c r="BI131" s="158"/>
      <c r="BJ131" s="158"/>
    </row>
    <row r="132" spans="2:62" ht="14.25" customHeight="1" x14ac:dyDescent="0.2">
      <c r="B132" s="314"/>
      <c r="C132" s="316"/>
      <c r="D132" s="317"/>
      <c r="E132" s="313"/>
      <c r="F132" s="313"/>
      <c r="G132" s="304"/>
      <c r="H132" s="305"/>
      <c r="I132" s="306"/>
      <c r="J132" s="307"/>
      <c r="K132" s="308"/>
      <c r="L132" s="307">
        <f>IF(NOT(ISERROR(MATCH(K132,_xlfn.ANCHORARRAY(G374),0))),J376&amp;"Por favor no seleccionar los criterios de impacto",K132)</f>
        <v>0</v>
      </c>
      <c r="M132" s="306"/>
      <c r="N132" s="307"/>
      <c r="O132" s="309"/>
      <c r="P132" s="168">
        <v>5</v>
      </c>
      <c r="Q132" s="127"/>
      <c r="R132" s="169"/>
      <c r="S132" s="170"/>
      <c r="T132" s="170"/>
      <c r="U132" s="171"/>
      <c r="V132" s="170"/>
      <c r="W132" s="170"/>
      <c r="X132" s="170"/>
      <c r="Y132" s="172"/>
      <c r="Z132" s="173"/>
      <c r="AA132" s="171"/>
      <c r="AB132" s="173"/>
      <c r="AC132" s="171"/>
      <c r="AD132" s="174"/>
      <c r="AE132" s="179"/>
      <c r="AF132" s="192"/>
      <c r="AG132" s="193"/>
      <c r="AH132" s="176"/>
      <c r="AI132" s="176"/>
      <c r="AJ132" s="177"/>
      <c r="AK132" s="522"/>
      <c r="AL132" s="535"/>
      <c r="AM132" s="535"/>
      <c r="AN132" s="535"/>
      <c r="AO132" s="535"/>
      <c r="AP132" s="535"/>
      <c r="AQ132" s="535"/>
      <c r="AR132" s="535"/>
      <c r="AS132" s="158"/>
      <c r="AT132" s="158"/>
      <c r="AU132" s="158"/>
      <c r="AV132" s="158"/>
      <c r="AW132" s="158"/>
      <c r="AX132" s="158"/>
      <c r="AY132" s="158"/>
      <c r="AZ132" s="158"/>
      <c r="BA132" s="158"/>
      <c r="BB132" s="158"/>
      <c r="BC132" s="158"/>
      <c r="BD132" s="158"/>
      <c r="BE132" s="158"/>
      <c r="BF132" s="158"/>
      <c r="BG132" s="158"/>
      <c r="BH132" s="158"/>
      <c r="BI132" s="158"/>
      <c r="BJ132" s="158"/>
    </row>
    <row r="133" spans="2:62" ht="14.25" customHeight="1" x14ac:dyDescent="0.2">
      <c r="B133" s="314"/>
      <c r="C133" s="320"/>
      <c r="D133" s="317"/>
      <c r="E133" s="313"/>
      <c r="F133" s="313"/>
      <c r="G133" s="304"/>
      <c r="H133" s="305"/>
      <c r="I133" s="306"/>
      <c r="J133" s="307"/>
      <c r="K133" s="308"/>
      <c r="L133" s="307">
        <f>IF(NOT(ISERROR(MATCH(K133,_xlfn.ANCHORARRAY(G375),0))),J377&amp;"Por favor no seleccionar los criterios de impacto",K133)</f>
        <v>0</v>
      </c>
      <c r="M133" s="306"/>
      <c r="N133" s="307"/>
      <c r="O133" s="309"/>
      <c r="P133" s="168">
        <v>6</v>
      </c>
      <c r="Q133" s="127"/>
      <c r="R133" s="169"/>
      <c r="S133" s="170"/>
      <c r="T133" s="170"/>
      <c r="U133" s="171"/>
      <c r="V133" s="170"/>
      <c r="W133" s="170"/>
      <c r="X133" s="170"/>
      <c r="Y133" s="172"/>
      <c r="Z133" s="173"/>
      <c r="AA133" s="171"/>
      <c r="AB133" s="173"/>
      <c r="AC133" s="171"/>
      <c r="AD133" s="174"/>
      <c r="AE133" s="170"/>
      <c r="AF133" s="136"/>
      <c r="AG133" s="136"/>
      <c r="AH133" s="131"/>
      <c r="AI133" s="131"/>
      <c r="AJ133" s="177"/>
      <c r="AK133" s="523"/>
      <c r="AL133" s="535"/>
      <c r="AM133" s="535"/>
      <c r="AN133" s="535"/>
      <c r="AO133" s="535"/>
      <c r="AP133" s="535"/>
      <c r="AQ133" s="535"/>
      <c r="AR133" s="535"/>
      <c r="AS133" s="158"/>
      <c r="AT133" s="158"/>
      <c r="AU133" s="158"/>
      <c r="AV133" s="158"/>
      <c r="AW133" s="158"/>
      <c r="AX133" s="158"/>
      <c r="AY133" s="158"/>
      <c r="AZ133" s="158"/>
      <c r="BA133" s="158"/>
      <c r="BB133" s="158"/>
      <c r="BC133" s="158"/>
      <c r="BD133" s="158"/>
      <c r="BE133" s="158"/>
      <c r="BF133" s="158"/>
      <c r="BG133" s="158"/>
      <c r="BH133" s="158"/>
      <c r="BI133" s="158"/>
      <c r="BJ133" s="158"/>
    </row>
    <row r="134" spans="2:62" s="163" customFormat="1" ht="102" x14ac:dyDescent="0.25">
      <c r="B134" s="314" t="s">
        <v>323</v>
      </c>
      <c r="C134" s="315" t="s">
        <v>314</v>
      </c>
      <c r="D134" s="317" t="s">
        <v>324</v>
      </c>
      <c r="E134" s="313" t="s">
        <v>127</v>
      </c>
      <c r="F134" s="313" t="s">
        <v>325</v>
      </c>
      <c r="G134" s="304" t="s">
        <v>326</v>
      </c>
      <c r="H134" s="305" t="s">
        <v>224</v>
      </c>
      <c r="I134" s="306" t="str">
        <f>IF(H134&lt;=0,"",IF(H134="No se ha presentado en los últimos 5 años","Rara vez",IF(H134="Al menos 1 vez en los últimos 5 años","Improbable",IF(H134="Al menos 1 vez en los últimos 2 años","Posible",IF(H134="Al menos 1 vez en el último año","Probable",IF(H134="Más de 1 vez al año","Casi Seguro"))))))</f>
        <v>Posible</v>
      </c>
      <c r="J134" s="307">
        <f>IF(I134="","",IF(I134="Rara vez",0.2,IF(I134="Improbable",0.4,IF(I134="Posible",0.6,IF(I134="Probable",0.8,IF(I134="Casi Seguro",1,))))))</f>
        <v>0.6</v>
      </c>
      <c r="K134" s="308" t="s">
        <v>131</v>
      </c>
      <c r="L134" s="307" t="str">
        <f>IF(NOT(ISERROR(MATCH(K134,'Tabla Impacto'!$B$220:$B$222,0))),'Tabla Impacto'!$F$222&amp;"Por favor no seleccionar los criterios de impacto(Criterios para calificar el impacto)",K134)</f>
        <v xml:space="preserve">Responder afirmativamente de DOCE a DIECINUEVE </v>
      </c>
      <c r="M134" s="306" t="str">
        <f>IF(OR(L134='Tabla Impacto'!$C$5),"Moderado",IF(OR(L134='Tabla Impacto'!$C$6),"Mayor",IF(OR(L134='Tabla Impacto'!$C$7),"Catastrófico","")))</f>
        <v>Catastrófico</v>
      </c>
      <c r="N134" s="307">
        <f>IF(M134="","",IF(M134="Leve",0.2,IF(M134="Menor",0.4,IF(M134="Moderado",0.6,IF(M134="Mayor",0.8,IF(M134="Catastrófico",1,))))))</f>
        <v>1</v>
      </c>
      <c r="O134" s="309" t="str">
        <f>IF(OR(AND(I134="Rara vez",M134="Leve"),AND(I134="Rara vez",M134="Menor"),AND(I134="Improbable",M134="Leve")),"Bajo",IF(OR(AND(I134="Rara vez",M134="Moderado"),AND(I134="Improbable",M134="Menor"),AND(I134="Improbable",M134="Moderado"),AND(I134="Posible",M134="Leve"),AND(I134="Posible",M134="Menor"),AND(I134="Posible",M134="Moderado"),AND(I134="Probable",M134="Leve"),AND(I134="Probable",M134="Menor")),"Moderado",IF(OR(AND(I134="Rara vez",M134="Mayor"),AND(I134="Improbable",M134="Mayor"),AND(I134="Posible",M134="Mayor"),AND(I134="Probable",M134="Moderado"),AND(I134="Probable",M134="Mayor"),AND(I134="Casi Seguro",M134="Leve"),AND(I134="Casi Seguro",M134="Menor"),AND(I134="Casi Seguro",M134="Moderado"),AND(I134="Casi Seguro",M134="Mayor")),"Alto",IF(OR(AND(I134="Rara vez",M134="Catastrófico"),AND(I134="Improbable",M134="Catastrófico"),AND(I134="Posible",M134="Catastrófico"),AND(I134="Probable",M134="Catastrófico"),AND(I134="Casi Seguro",M134="Catastrófico")),"Extremo",""))))</f>
        <v>Extremo</v>
      </c>
      <c r="P134" s="168">
        <v>1</v>
      </c>
      <c r="Q134" s="129" t="s">
        <v>327</v>
      </c>
      <c r="R134" s="169" t="str">
        <f>IF(OR(S134="Preventivo",S134="Detectivo"),"Probabilidad",IF(S134="Correctivo","Impacto",""))</f>
        <v>Probabilidad</v>
      </c>
      <c r="S134" s="170" t="s">
        <v>133</v>
      </c>
      <c r="T134" s="170" t="s">
        <v>113</v>
      </c>
      <c r="U134" s="171" t="str">
        <f>IF(AND(S134="Preventivo",T134="Automático"),"50%",IF(AND(S134="Preventivo",T134="Manual"),"40%",IF(AND(S134="Detectivo",T134="Automático"),"40%",IF(AND(S134="Detectivo",T134="Manual"),"30%",IF(AND(S134="Correctivo",T134="Automático"),"35%",IF(AND(S134="Correctivo",T134="Manual"),"25%",""))))))</f>
        <v>30%</v>
      </c>
      <c r="V134" s="170" t="s">
        <v>114</v>
      </c>
      <c r="W134" s="170" t="s">
        <v>115</v>
      </c>
      <c r="X134" s="170" t="s">
        <v>134</v>
      </c>
      <c r="Y134" s="172">
        <f>IFERROR(IF(R134="Probabilidad",(J134-(+J134*U134)),IF(R134="Impacto",J134,"")),"")</f>
        <v>0.42</v>
      </c>
      <c r="Z134" s="173" t="str">
        <f>IFERROR(IF(Y134="","",IF(Y134&lt;=0.2,"Rara vez",IF(Y134&lt;=0.4,"Improbable",IF(Y134&lt;=0.6,"Posible",IF(Y134&lt;=0.8,"Probable","Casi Seguro"))))),"")</f>
        <v>Posible</v>
      </c>
      <c r="AA134" s="171">
        <f>+Y134</f>
        <v>0.42</v>
      </c>
      <c r="AB134" s="173" t="str">
        <f>IFERROR(IF(AC134="","",IF(AC134&lt;=0.6,"Moderado",IF(AC134&lt;=0.8,"Mayor","Catastrófico"))),"")</f>
        <v>Catastrófico</v>
      </c>
      <c r="AC134" s="171">
        <f>IFERROR(IF(R134="Impacto",(N134-(+N134*U134)),IF(R134="Probabilidad",N134,"")),"")</f>
        <v>1</v>
      </c>
      <c r="AD134" s="174" t="str">
        <f>IFERROR(IF(OR(AND(Z134="Rara vez",AB134="Leve"),AND(Z134="Rara vez",AB134="Menor"),AND(Z134="Improbable",AB134="Leve")),"Bajo",IF(OR(AND(Z134="Rara vez",AB134="Moderado"),AND(Z134="Improbable",AB134="Menor"),AND(Z134="Improbable",AB134="Moderado"),AND(Z134="Posible",AB134="Leve"),AND(Z134="Posible",AB134="Menor"),AND(Z134="Posible",AB134="Moderado"),AND(Z134="Probable",AB134="Leve"),AND(Z134="Probable",AB134="Menor")),"Moderado",IF(OR(AND(Z134="Rara vez",AB134="Mayor"),AND(Z134="Improbable",AB134="Mayor"),AND(Z134="Posible",AB134="Mayor"),AND(Z134="Probable",AB134="Moderado"),AND(Z134="Probable",AB134="Mayor"),AND(Z134="Casi Seguro",AB134="Leve"),AND(Z134="Casi Seguro",AB134="Menor"),AND(Z134="Casi Seguro",AB134="Moderado"),AND(Z134="Casi Seguro",AB134="Mayor")),"Alto",IF(OR(AND(Z134="Rara vez",AB134="Catastrófico"),AND(Z134="Improbable",AB134="Catastrófico"),AND(Z134="Posible",AB134="Catastrófico"),AND(Z134="Probable",AB134="Catastrófico"),AND(Z134="Casi Seguro",AB134="Catastrófico")),"Extremo","")))),"")</f>
        <v>Extremo</v>
      </c>
      <c r="AE134" s="170"/>
      <c r="AF134" s="123"/>
      <c r="AG134" s="123"/>
      <c r="AH134" s="175"/>
      <c r="AI134" s="176"/>
      <c r="AJ134" s="177"/>
      <c r="AK134" s="522"/>
      <c r="AL134" s="534"/>
      <c r="AM134" s="534"/>
      <c r="AN134" s="534"/>
      <c r="AO134" s="534"/>
      <c r="AP134" s="534"/>
      <c r="AQ134" s="534"/>
      <c r="AR134" s="534"/>
      <c r="AS134" s="178"/>
      <c r="AT134" s="178"/>
      <c r="AU134" s="178"/>
      <c r="AV134" s="178"/>
      <c r="AW134" s="178"/>
      <c r="AX134" s="178"/>
      <c r="AY134" s="178"/>
      <c r="AZ134" s="178"/>
      <c r="BA134" s="178"/>
      <c r="BB134" s="178"/>
      <c r="BC134" s="178"/>
      <c r="BD134" s="178"/>
      <c r="BE134" s="178"/>
      <c r="BF134" s="178"/>
      <c r="BG134" s="178"/>
      <c r="BH134" s="178"/>
      <c r="BI134" s="178"/>
      <c r="BJ134" s="178"/>
    </row>
    <row r="135" spans="2:62" ht="105" customHeight="1" x14ac:dyDescent="0.2">
      <c r="B135" s="314"/>
      <c r="C135" s="316"/>
      <c r="D135" s="317"/>
      <c r="E135" s="313"/>
      <c r="F135" s="313"/>
      <c r="G135" s="304"/>
      <c r="H135" s="305"/>
      <c r="I135" s="306"/>
      <c r="J135" s="307"/>
      <c r="K135" s="308"/>
      <c r="L135" s="307">
        <f>IF(NOT(ISERROR(MATCH(K135,_xlfn.ANCHORARRAY(G377),0))),J379&amp;"Por favor no seleccionar los criterios de impacto",K135)</f>
        <v>0</v>
      </c>
      <c r="M135" s="306"/>
      <c r="N135" s="307"/>
      <c r="O135" s="309"/>
      <c r="P135" s="168">
        <v>2</v>
      </c>
      <c r="Q135" s="129" t="s">
        <v>328</v>
      </c>
      <c r="R135" s="169" t="str">
        <f>IF(OR(S135="Preventivo",S135="Detectivo"),"Probabilidad",IF(S135="Correctivo","Impacto",""))</f>
        <v>Probabilidad</v>
      </c>
      <c r="S135" s="170" t="s">
        <v>133</v>
      </c>
      <c r="T135" s="170" t="s">
        <v>113</v>
      </c>
      <c r="U135" s="171" t="str">
        <f t="shared" ref="U135:U138" si="224">IF(AND(S135="Preventivo",T135="Automático"),"50%",IF(AND(S135="Preventivo",T135="Manual"),"40%",IF(AND(S135="Detectivo",T135="Automático"),"40%",IF(AND(S135="Detectivo",T135="Manual"),"30%",IF(AND(S135="Correctivo",T135="Automático"),"35%",IF(AND(S135="Correctivo",T135="Manual"),"25%",""))))))</f>
        <v>30%</v>
      </c>
      <c r="V135" s="170" t="s">
        <v>114</v>
      </c>
      <c r="W135" s="170" t="s">
        <v>115</v>
      </c>
      <c r="X135" s="170" t="s">
        <v>134</v>
      </c>
      <c r="Y135" s="172">
        <f>IFERROR(IF(AND(R134="Probabilidad",R135="Probabilidad"),(AA134-(+AA134*U135)),IF(R135="Probabilidad",(J134-(+J134*U135)),IF(R135="Impacto",AA134,""))),"")</f>
        <v>0.29399999999999998</v>
      </c>
      <c r="Z135" s="173" t="str">
        <f t="shared" ref="Z135:Z138" si="225">IFERROR(IF(Y135="","",IF(Y135&lt;=0.2,"Rara vez",IF(Y135&lt;=0.4,"Improbable",IF(Y135&lt;=0.6,"Posible",IF(Y135&lt;=0.8,"Probable","Casi Seguro"))))),"")</f>
        <v>Improbable</v>
      </c>
      <c r="AA135" s="171">
        <f t="shared" ref="AA135:AA138" si="226">+Y135</f>
        <v>0.29399999999999998</v>
      </c>
      <c r="AB135" s="173" t="str">
        <f t="shared" ref="AB135:AB138" si="227">IFERROR(IF(AC135="","",IF(AC135&lt;=0.6,"Moderado",IF(AC135&lt;=0.8,"Mayor","Catastrófico"))),"")</f>
        <v>Catastrófico</v>
      </c>
      <c r="AC135" s="171">
        <f>IFERROR(IF(AND(R134="Impacto",R135="Impacto"),(AC134-(+AC134*U135)),IF(R135="Impacto",(N134-(+N134*U135)),IF(R135="Probabilidad",AC134,""))),"")</f>
        <v>1</v>
      </c>
      <c r="AD135" s="174" t="str">
        <f>IFERROR(IF(OR(AND(Z135="Rara vez",AB135="Leve"),AND(Z135="Rara vez",AB135="Menor"),AND(Z135="Improbable",AB135="Leve")),"Bajo",IF(OR(AND(Z135="Rara vez",AB135="Moderado"),AND(Z135="Improbable",AB135="Menor"),AND(Z135="Improbable",AB135="Moderado"),AND(Z135="Posible",AB135="Leve"),AND(Z135="Posible",AB135="Menor"),AND(Z135="Posible",AB135="Moderado"),AND(Z135="Probable",AB135="Leve"),AND(Z135="Probable",AB135="Menor")),"Moderado",IF(OR(AND(Z135="Rara vez",AB135="Mayor"),AND(Z135="Improbable",AB135="Mayor"),AND(Z135="Posible",AB135="Mayor"),AND(Z135="Probable",AB135="Moderado"),AND(Z135="Probable",AB135="Mayor"),AND(Z135="Casi Seguro",AB135="Leve"),AND(Z135="Casi Seguro",AB135="Menor"),AND(Z135="Casi Seguro",AB135="Moderado"),AND(Z135="Casi Seguro",AB135="Mayor")),"Alto",IF(OR(AND(Z135="Rara vez",AB135="Catastrófico"),AND(Z135="Improbable",AB135="Catastrófico"),AND(Z135="Posible",AB135="Catastrófico"),AND(Z135="Probable",AB135="Catastrófico"),AND(Z135="Casi Seguro",AB135="Catastrófico")),"Extremo","")))),"")</f>
        <v>Extremo</v>
      </c>
      <c r="AE135" s="170"/>
      <c r="AF135" s="132"/>
      <c r="AG135" s="194"/>
      <c r="AH135" s="195"/>
      <c r="AI135" s="176"/>
      <c r="AJ135" s="181"/>
      <c r="AK135" s="522"/>
      <c r="AL135" s="535"/>
      <c r="AM135" s="535"/>
      <c r="AN135" s="535"/>
      <c r="AO135" s="535"/>
      <c r="AP135" s="535"/>
      <c r="AQ135" s="535"/>
      <c r="AR135" s="535"/>
      <c r="AS135" s="158"/>
      <c r="AT135" s="158"/>
      <c r="AU135" s="158"/>
      <c r="AV135" s="158"/>
      <c r="AW135" s="158"/>
      <c r="AX135" s="158"/>
      <c r="AY135" s="158"/>
      <c r="AZ135" s="158"/>
      <c r="BA135" s="158"/>
      <c r="BB135" s="158"/>
      <c r="BC135" s="158"/>
      <c r="BD135" s="158"/>
      <c r="BE135" s="158"/>
      <c r="BF135" s="158"/>
      <c r="BG135" s="158"/>
      <c r="BH135" s="158"/>
      <c r="BI135" s="158"/>
      <c r="BJ135" s="158"/>
    </row>
    <row r="136" spans="2:62" ht="75" x14ac:dyDescent="0.2">
      <c r="B136" s="314"/>
      <c r="C136" s="316"/>
      <c r="D136" s="317"/>
      <c r="E136" s="313"/>
      <c r="F136" s="313"/>
      <c r="G136" s="304"/>
      <c r="H136" s="305"/>
      <c r="I136" s="306"/>
      <c r="J136" s="307"/>
      <c r="K136" s="308"/>
      <c r="L136" s="307">
        <f>IF(NOT(ISERROR(MATCH(K136,_xlfn.ANCHORARRAY(G378),0))),J380&amp;"Por favor no seleccionar los criterios de impacto",K136)</f>
        <v>0</v>
      </c>
      <c r="M136" s="306"/>
      <c r="N136" s="307"/>
      <c r="O136" s="309"/>
      <c r="P136" s="168">
        <v>3</v>
      </c>
      <c r="Q136" s="129" t="s">
        <v>329</v>
      </c>
      <c r="R136" s="169" t="s">
        <v>136</v>
      </c>
      <c r="S136" s="182" t="s">
        <v>137</v>
      </c>
      <c r="T136" s="170" t="s">
        <v>113</v>
      </c>
      <c r="U136" s="171" t="str">
        <f t="shared" si="224"/>
        <v>25%</v>
      </c>
      <c r="V136" s="170" t="s">
        <v>114</v>
      </c>
      <c r="W136" s="170" t="s">
        <v>115</v>
      </c>
      <c r="X136" s="170" t="s">
        <v>134</v>
      </c>
      <c r="Y136" s="172">
        <f>IFERROR(IF(AND(R135="Probabilidad",R136="Probabilidad"),(AA135-(+AA135*U136)),IF(AND(R135="Impacto",R136="Probabilidad"),(AA134-(+AA134*U136)),IF(R136="Impacto",AA135,""))),"")</f>
        <v>0.29399999999999998</v>
      </c>
      <c r="Z136" s="173" t="str">
        <f t="shared" si="225"/>
        <v>Improbable</v>
      </c>
      <c r="AA136" s="171">
        <f t="shared" si="226"/>
        <v>0.29399999999999998</v>
      </c>
      <c r="AB136" s="173" t="str">
        <f t="shared" si="227"/>
        <v>Mayor</v>
      </c>
      <c r="AC136" s="171">
        <f>IFERROR(IF(AND(R135="Impacto",R136="Impacto"),(AC135-(+AC135*U136)),IF(AND(R135="Probabilidad",R136="Impacto"),(AC134-(+AC134*U136)),IF(R136="Probabilidad",AC135,""))),"")</f>
        <v>0.75</v>
      </c>
      <c r="AD136" s="174" t="str">
        <f>IFERROR(IF(OR(AND(Z136="Rara vez",AB136="Leve"),AND(Z136="Rara vez",AB136="Menor"),AND(Z136="Improbable",AB136="Leve")),"Bajo",IF(OR(AND(Z136="Rara vez",AB136="Moderado"),AND(Z136="Improbable",AB136="Menor"),AND(Z136="Improbable",AB136="Moderado"),AND(Z136="Posible",AB136="Leve"),AND(Z136="Posible",AB136="Menor"),AND(Z136="Posible",AB136="Moderado"),AND(Z136="Probable",AB136="Leve"),AND(Z136="Probable",AB136="Menor")),"Moderado",IF(OR(AND(Z136="Rara vez",AB136="Mayor"),AND(Z136="Improbable",AB136="Mayor"),AND(Z136="Posible",AB136="Mayor"),AND(Z136="Probable",AB136="Moderado"),AND(Z136="Probable",AB136="Mayor"),AND(Z136="Casi Seguro",AB136="Leve"),AND(Z136="Casi Seguro",AB136="Menor"),AND(Z136="Casi Seguro",AB136="Moderado"),AND(Z136="Casi Seguro",AB136="Mayor")),"Alto",IF(OR(AND(Z136="Rara vez",AB136="Catastrófico"),AND(Z136="Improbable",AB136="Catastrófico"),AND(Z136="Posible",AB136="Catastrófico"),AND(Z136="Probable",AB136="Catastrófico"),AND(Z136="Casi Seguro",AB136="Catastrófico")),"Extremo","")))),"")</f>
        <v>Alto</v>
      </c>
      <c r="AE136" s="196"/>
      <c r="AF136" s="136"/>
      <c r="AG136" s="137"/>
      <c r="AH136" s="131"/>
      <c r="AI136" s="187"/>
      <c r="AJ136" s="188"/>
      <c r="AK136" s="523"/>
      <c r="AL136" s="535"/>
      <c r="AM136" s="535"/>
      <c r="AN136" s="535"/>
      <c r="AO136" s="535"/>
      <c r="AP136" s="535"/>
      <c r="AQ136" s="535"/>
      <c r="AR136" s="535"/>
      <c r="AS136" s="158"/>
      <c r="AT136" s="158"/>
      <c r="AU136" s="158"/>
      <c r="AV136" s="158"/>
      <c r="AW136" s="158"/>
      <c r="AX136" s="158"/>
      <c r="AY136" s="158"/>
      <c r="AZ136" s="158"/>
      <c r="BA136" s="158"/>
      <c r="BB136" s="158"/>
      <c r="BC136" s="158"/>
      <c r="BD136" s="158"/>
      <c r="BE136" s="158"/>
      <c r="BF136" s="158"/>
      <c r="BG136" s="158"/>
      <c r="BH136" s="158"/>
      <c r="BI136" s="158"/>
      <c r="BJ136" s="158"/>
    </row>
    <row r="137" spans="2:62" ht="89.25" x14ac:dyDescent="0.2">
      <c r="B137" s="314"/>
      <c r="C137" s="316"/>
      <c r="D137" s="317"/>
      <c r="E137" s="313"/>
      <c r="F137" s="313"/>
      <c r="G137" s="304"/>
      <c r="H137" s="305"/>
      <c r="I137" s="306"/>
      <c r="J137" s="307"/>
      <c r="K137" s="308"/>
      <c r="L137" s="307">
        <f>IF(NOT(ISERROR(MATCH(K137,_xlfn.ANCHORARRAY(G379),0))),J381&amp;"Por favor no seleccionar los criterios de impacto",K137)</f>
        <v>0</v>
      </c>
      <c r="M137" s="306"/>
      <c r="N137" s="307"/>
      <c r="O137" s="309"/>
      <c r="P137" s="168">
        <v>4</v>
      </c>
      <c r="Q137" s="129" t="s">
        <v>330</v>
      </c>
      <c r="R137" s="169" t="s">
        <v>118</v>
      </c>
      <c r="S137" s="170" t="s">
        <v>133</v>
      </c>
      <c r="T137" s="170" t="s">
        <v>113</v>
      </c>
      <c r="U137" s="171" t="str">
        <f t="shared" si="224"/>
        <v>30%</v>
      </c>
      <c r="V137" s="170" t="s">
        <v>114</v>
      </c>
      <c r="W137" s="170" t="s">
        <v>115</v>
      </c>
      <c r="X137" s="170" t="s">
        <v>134</v>
      </c>
      <c r="Y137" s="172">
        <f t="shared" ref="Y137:Y138" si="228">IFERROR(IF(AND(R136="Probabilidad",R137="Probabilidad"),(AA136-(+AA136*U137)),IF(AND(R136="Impacto",R137="Probabilidad"),(AA135-(+AA135*U137)),IF(R137="Impacto",AA136,""))),"")</f>
        <v>0.20579999999999998</v>
      </c>
      <c r="Z137" s="173" t="str">
        <f t="shared" si="225"/>
        <v>Improbable</v>
      </c>
      <c r="AA137" s="171">
        <f t="shared" si="226"/>
        <v>0.20579999999999998</v>
      </c>
      <c r="AB137" s="173" t="str">
        <f t="shared" si="227"/>
        <v>Mayor</v>
      </c>
      <c r="AC137" s="171">
        <f t="shared" ref="AC137:AC138" si="229">IFERROR(IF(AND(R136="Impacto",R137="Impacto"),(AC136-(+AC136*U137)),IF(AND(R136="Probabilidad",R137="Impacto"),(AC135-(+AC135*U137)),IF(R137="Probabilidad",AC136,""))),"")</f>
        <v>0.75</v>
      </c>
      <c r="AD137" s="174" t="str">
        <f t="shared" ref="AD137:AD138" si="230">IFERROR(IF(OR(AND(Z137="Rara vez",AB137="Leve"),AND(Z137="Rara vez",AB137="Menor"),AND(Z137="Improbable",AB137="Leve")),"Bajo",IF(OR(AND(Z137="Rara vez",AB137="Moderado"),AND(Z137="Improbable",AB137="Menor"),AND(Z137="Improbable",AB137="Moderado"),AND(Z137="Posible",AB137="Leve"),AND(Z137="Posible",AB137="Menor"),AND(Z137="Posible",AB137="Moderado"),AND(Z137="Probable",AB137="Leve"),AND(Z137="Probable",AB137="Menor")),"Moderado",IF(OR(AND(Z137="Rara vez",AB137="Mayor"),AND(Z137="Improbable",AB137="Mayor"),AND(Z137="Posible",AB137="Mayor"),AND(Z137="Probable",AB137="Moderado"),AND(Z137="Probable",AB137="Mayor"),AND(Z137="Casi Seguro",AB137="Leve"),AND(Z137="Casi Seguro",AB137="Menor"),AND(Z137="Casi Seguro",AB137="Moderado"),AND(Z137="Casi Seguro",AB137="Mayor")),"Alto",IF(OR(AND(Z137="Rara vez",AB137="Catastrófico"),AND(Z137="Improbable",AB137="Catastrófico"),AND(Z137="Posible",AB137="Catastrófico"),AND(Z137="Probable",AB137="Catastrófico"),AND(Z137="Casi Seguro",AB137="Catastrófico")),"Extremo","")))),"")</f>
        <v>Alto</v>
      </c>
      <c r="AE137" s="170"/>
      <c r="AF137" s="136"/>
      <c r="AG137" s="203"/>
      <c r="AH137" s="202"/>
      <c r="AI137" s="136"/>
      <c r="AJ137" s="200"/>
      <c r="AK137" s="524"/>
      <c r="AL137" s="535"/>
      <c r="AM137" s="535"/>
      <c r="AN137" s="535"/>
      <c r="AO137" s="535"/>
      <c r="AP137" s="535"/>
      <c r="AQ137" s="535"/>
      <c r="AR137" s="535"/>
      <c r="AS137" s="158"/>
      <c r="AT137" s="158"/>
      <c r="AU137" s="158"/>
      <c r="AV137" s="158"/>
      <c r="AW137" s="158"/>
      <c r="AX137" s="158"/>
      <c r="AY137" s="158"/>
      <c r="AZ137" s="158"/>
      <c r="BA137" s="158"/>
      <c r="BB137" s="158"/>
      <c r="BC137" s="158"/>
      <c r="BD137" s="158"/>
      <c r="BE137" s="158"/>
      <c r="BF137" s="158"/>
      <c r="BG137" s="158"/>
      <c r="BH137" s="158"/>
      <c r="BI137" s="158"/>
      <c r="BJ137" s="158"/>
    </row>
    <row r="138" spans="2:62" ht="76.5" x14ac:dyDescent="0.2">
      <c r="B138" s="314"/>
      <c r="C138" s="316"/>
      <c r="D138" s="317"/>
      <c r="E138" s="313"/>
      <c r="F138" s="313"/>
      <c r="G138" s="304"/>
      <c r="H138" s="305"/>
      <c r="I138" s="306"/>
      <c r="J138" s="307"/>
      <c r="K138" s="308"/>
      <c r="L138" s="307">
        <f>IF(NOT(ISERROR(MATCH(K138,_xlfn.ANCHORARRAY(G380),0))),J382&amp;"Por favor no seleccionar los criterios de impacto",K138)</f>
        <v>0</v>
      </c>
      <c r="M138" s="306"/>
      <c r="N138" s="307"/>
      <c r="O138" s="309"/>
      <c r="P138" s="168">
        <v>5</v>
      </c>
      <c r="Q138" s="126" t="s">
        <v>331</v>
      </c>
      <c r="R138" s="169" t="s">
        <v>118</v>
      </c>
      <c r="S138" s="170" t="s">
        <v>133</v>
      </c>
      <c r="T138" s="170" t="s">
        <v>113</v>
      </c>
      <c r="U138" s="171" t="str">
        <f t="shared" si="224"/>
        <v>30%</v>
      </c>
      <c r="V138" s="170" t="s">
        <v>114</v>
      </c>
      <c r="W138" s="170" t="s">
        <v>115</v>
      </c>
      <c r="X138" s="170" t="s">
        <v>134</v>
      </c>
      <c r="Y138" s="172">
        <f t="shared" si="228"/>
        <v>0.14405999999999999</v>
      </c>
      <c r="Z138" s="173" t="str">
        <f t="shared" si="225"/>
        <v>Rara vez</v>
      </c>
      <c r="AA138" s="171">
        <f t="shared" si="226"/>
        <v>0.14405999999999999</v>
      </c>
      <c r="AB138" s="173" t="str">
        <f t="shared" si="227"/>
        <v>Mayor</v>
      </c>
      <c r="AC138" s="171">
        <f t="shared" si="229"/>
        <v>0.75</v>
      </c>
      <c r="AD138" s="174" t="str">
        <f t="shared" si="230"/>
        <v>Alto</v>
      </c>
      <c r="AE138" s="179" t="s">
        <v>120</v>
      </c>
      <c r="AF138" s="136" t="s">
        <v>332</v>
      </c>
      <c r="AG138" s="203" t="s">
        <v>333</v>
      </c>
      <c r="AH138" s="202">
        <v>45797</v>
      </c>
      <c r="AI138" s="203"/>
      <c r="AJ138" s="136"/>
      <c r="AK138" s="525" t="s">
        <v>123</v>
      </c>
      <c r="AL138" s="535"/>
      <c r="AM138" s="535"/>
      <c r="AN138" s="535"/>
      <c r="AO138" s="535"/>
      <c r="AP138" s="535"/>
      <c r="AQ138" s="535"/>
      <c r="AR138" s="535"/>
      <c r="AS138" s="158"/>
      <c r="AT138" s="158"/>
      <c r="AU138" s="158"/>
      <c r="AV138" s="158"/>
      <c r="AW138" s="158"/>
      <c r="AX138" s="158"/>
      <c r="AY138" s="158"/>
      <c r="AZ138" s="158"/>
      <c r="BA138" s="158"/>
      <c r="BB138" s="158"/>
      <c r="BC138" s="158"/>
      <c r="BD138" s="158"/>
      <c r="BE138" s="158"/>
      <c r="BF138" s="158"/>
      <c r="BG138" s="158"/>
      <c r="BH138" s="158"/>
      <c r="BI138" s="158"/>
      <c r="BJ138" s="158"/>
    </row>
    <row r="139" spans="2:62" ht="14.25" customHeight="1" x14ac:dyDescent="0.2">
      <c r="B139" s="314"/>
      <c r="C139" s="320"/>
      <c r="D139" s="317"/>
      <c r="E139" s="313"/>
      <c r="F139" s="313"/>
      <c r="G139" s="304"/>
      <c r="H139" s="305"/>
      <c r="I139" s="306"/>
      <c r="J139" s="307"/>
      <c r="K139" s="308"/>
      <c r="L139" s="307">
        <f>IF(NOT(ISERROR(MATCH(K139,_xlfn.ANCHORARRAY(G381),0))),J383&amp;"Por favor no seleccionar los criterios de impacto",K139)</f>
        <v>0</v>
      </c>
      <c r="M139" s="306"/>
      <c r="N139" s="307"/>
      <c r="O139" s="309"/>
      <c r="P139" s="168">
        <v>6</v>
      </c>
      <c r="Q139" s="129"/>
      <c r="R139" s="169"/>
      <c r="S139" s="170"/>
      <c r="T139" s="170"/>
      <c r="U139" s="171"/>
      <c r="V139" s="170"/>
      <c r="W139" s="170"/>
      <c r="X139" s="170"/>
      <c r="Y139" s="172"/>
      <c r="Z139" s="173"/>
      <c r="AA139" s="171"/>
      <c r="AB139" s="173"/>
      <c r="AC139" s="171"/>
      <c r="AD139" s="174"/>
      <c r="AE139" s="170"/>
      <c r="AF139" s="136"/>
      <c r="AG139" s="136"/>
      <c r="AH139" s="131"/>
      <c r="AI139" s="131"/>
      <c r="AJ139" s="177"/>
      <c r="AK139" s="523"/>
      <c r="AL139" s="535"/>
      <c r="AM139" s="535"/>
      <c r="AN139" s="535"/>
      <c r="AO139" s="535"/>
      <c r="AP139" s="535"/>
      <c r="AQ139" s="535"/>
      <c r="AR139" s="535"/>
      <c r="AS139" s="158"/>
      <c r="AT139" s="158"/>
      <c r="AU139" s="158"/>
      <c r="AV139" s="158"/>
      <c r="AW139" s="158"/>
      <c r="AX139" s="158"/>
      <c r="AY139" s="158"/>
      <c r="AZ139" s="158"/>
      <c r="BA139" s="158"/>
      <c r="BB139" s="158"/>
      <c r="BC139" s="158"/>
      <c r="BD139" s="158"/>
      <c r="BE139" s="158"/>
      <c r="BF139" s="158"/>
      <c r="BG139" s="158"/>
      <c r="BH139" s="158"/>
      <c r="BI139" s="158"/>
      <c r="BJ139" s="158"/>
    </row>
    <row r="140" spans="2:62" s="163" customFormat="1" ht="129" customHeight="1" x14ac:dyDescent="0.25">
      <c r="B140" s="314" t="s">
        <v>334</v>
      </c>
      <c r="C140" s="315" t="s">
        <v>314</v>
      </c>
      <c r="D140" s="317" t="s">
        <v>335</v>
      </c>
      <c r="E140" s="313" t="s">
        <v>127</v>
      </c>
      <c r="F140" s="313" t="s">
        <v>336</v>
      </c>
      <c r="G140" s="304" t="s">
        <v>337</v>
      </c>
      <c r="H140" s="305" t="s">
        <v>109</v>
      </c>
      <c r="I140" s="306" t="str">
        <f>IF(H140&lt;=0,"",IF(H140="No se ha presentado en los últimos 5 años","Rara vez",IF(H140="Al menos 1 vez en los últimos 5 años","Improbable",IF(H140="Al menos 1 vez en los últimos 2 años","Posible",IF(H140="Al menos 1 vez en el último año","Probable",IF(H140="Más de 1 vez al año","Casi Seguro"))))))</f>
        <v>Rara vez</v>
      </c>
      <c r="J140" s="307">
        <f>IF(I140="","",IF(I140="Rara vez",0.2,IF(I140="Improbable",0.4,IF(I140="Posible",0.6,IF(I140="Probable",0.8,IF(I140="Casi Seguro",1,))))))</f>
        <v>0.2</v>
      </c>
      <c r="K140" s="308" t="s">
        <v>131</v>
      </c>
      <c r="L140" s="307" t="str">
        <f>IF(NOT(ISERROR(MATCH(K140,'Tabla Impacto'!$B$220:$B$222,0))),'Tabla Impacto'!$F$222&amp;"Por favor no seleccionar los criterios de impacto(Criterios para calificar el impacto)",K140)</f>
        <v xml:space="preserve">Responder afirmativamente de DOCE a DIECINUEVE </v>
      </c>
      <c r="M140" s="306" t="str">
        <f>IF(OR(L140='Tabla Impacto'!$C$5),"Moderado",IF(OR(L140='Tabla Impacto'!$C$6),"Mayor",IF(OR(L140='Tabla Impacto'!$C$7),"Catastrófico","")))</f>
        <v>Catastrófico</v>
      </c>
      <c r="N140" s="307">
        <f>IF(M140="","",IF(M140="Leve",0.2,IF(M140="Menor",0.4,IF(M140="Moderado",0.6,IF(M140="Mayor",0.8,IF(M140="Catastrófico",1,))))))</f>
        <v>1</v>
      </c>
      <c r="O140" s="309" t="str">
        <f>IF(OR(AND(I140="Rara vez",M140="Leve"),AND(I140="Rara vez",M140="Menor"),AND(I140="Improbable",M140="Leve")),"Bajo",IF(OR(AND(I140="Rara vez",M140="Moderado"),AND(I140="Improbable",M140="Menor"),AND(I140="Improbable",M140="Moderado"),AND(I140="Posible",M140="Leve"),AND(I140="Posible",M140="Menor"),AND(I140="Posible",M140="Moderado"),AND(I140="Probable",M140="Leve"),AND(I140="Probable",M140="Menor")),"Moderado",IF(OR(AND(I140="Rara vez",M140="Mayor"),AND(I140="Improbable",M140="Mayor"),AND(I140="Posible",M140="Mayor"),AND(I140="Probable",M140="Moderado"),AND(I140="Probable",M140="Mayor"),AND(I140="Casi Seguro",M140="Leve"),AND(I140="Casi Seguro",M140="Menor"),AND(I140="Casi Seguro",M140="Moderado"),AND(I140="Casi Seguro",M140="Mayor")),"Alto",IF(OR(AND(I140="Rara vez",M140="Catastrófico"),AND(I140="Improbable",M140="Catastrófico"),AND(I140="Posible",M140="Catastrófico"),AND(I140="Probable",M140="Catastrófico"),AND(I140="Casi Seguro",M140="Catastrófico")),"Extremo",""))))</f>
        <v>Extremo</v>
      </c>
      <c r="P140" s="168">
        <v>1</v>
      </c>
      <c r="Q140" s="129" t="s">
        <v>338</v>
      </c>
      <c r="R140" s="169" t="str">
        <f>IF(OR(S140="Preventivo",S140="Detectivo"),"Probabilidad",IF(S140="Correctivo","Impacto",""))</f>
        <v>Probabilidad</v>
      </c>
      <c r="S140" s="170" t="s">
        <v>112</v>
      </c>
      <c r="T140" s="170" t="s">
        <v>113</v>
      </c>
      <c r="U140" s="171" t="str">
        <f>IF(AND(S140="Preventivo",T140="Automático"),"50%",IF(AND(S140="Preventivo",T140="Manual"),"40%",IF(AND(S140="Detectivo",T140="Automático"),"40%",IF(AND(S140="Detectivo",T140="Manual"),"30%",IF(AND(S140="Correctivo",T140="Automático"),"35%",IF(AND(S140="Correctivo",T140="Manual"),"25%",""))))))</f>
        <v>40%</v>
      </c>
      <c r="V140" s="170" t="s">
        <v>114</v>
      </c>
      <c r="W140" s="170" t="s">
        <v>115</v>
      </c>
      <c r="X140" s="170" t="s">
        <v>134</v>
      </c>
      <c r="Y140" s="172">
        <f>IFERROR(IF(R140="Probabilidad",(J140-(+J140*U140)),IF(R140="Impacto",J140,"")),"")</f>
        <v>0.12</v>
      </c>
      <c r="Z140" s="173" t="str">
        <f>IFERROR(IF(Y140="","",IF(Y140&lt;=0.2,"Rara vez",IF(Y140&lt;=0.4,"Improbable",IF(Y140&lt;=0.6,"Posible",IF(Y140&lt;=0.8,"Probable","Casi Seguro"))))),"")</f>
        <v>Rara vez</v>
      </c>
      <c r="AA140" s="171">
        <f>+Y140</f>
        <v>0.12</v>
      </c>
      <c r="AB140" s="173" t="str">
        <f>IFERROR(IF(AC140="","",IF(AC140&lt;=0.6,"Moderado",IF(AC140&lt;=0.8,"Mayor","Catastrófico"))),"")</f>
        <v>Catastrófico</v>
      </c>
      <c r="AC140" s="171">
        <f>IFERROR(IF(R140="Impacto",(N140-(+N140*U140)),IF(R140="Probabilidad",N140,"")),"")</f>
        <v>1</v>
      </c>
      <c r="AD140" s="174" t="str">
        <f>IFERROR(IF(OR(AND(Z140="Rara vez",AB140="Leve"),AND(Z140="Rara vez",AB140="Menor"),AND(Z140="Improbable",AB140="Leve")),"Bajo",IF(OR(AND(Z140="Rara vez",AB140="Moderado"),AND(Z140="Improbable",AB140="Menor"),AND(Z140="Improbable",AB140="Moderado"),AND(Z140="Posible",AB140="Leve"),AND(Z140="Posible",AB140="Menor"),AND(Z140="Posible",AB140="Moderado"),AND(Z140="Probable",AB140="Leve"),AND(Z140="Probable",AB140="Menor")),"Moderado",IF(OR(AND(Z140="Rara vez",AB140="Mayor"),AND(Z140="Improbable",AB140="Mayor"),AND(Z140="Posible",AB140="Mayor"),AND(Z140="Probable",AB140="Moderado"),AND(Z140="Probable",AB140="Mayor"),AND(Z140="Casi Seguro",AB140="Leve"),AND(Z140="Casi Seguro",AB140="Menor"),AND(Z140="Casi Seguro",AB140="Moderado"),AND(Z140="Casi Seguro",AB140="Mayor")),"Alto",IF(OR(AND(Z140="Rara vez",AB140="Catastrófico"),AND(Z140="Improbable",AB140="Catastrófico"),AND(Z140="Posible",AB140="Catastrófico"),AND(Z140="Probable",AB140="Catastrófico"),AND(Z140="Casi Seguro",AB140="Catastrófico")),"Extremo","")))),"")</f>
        <v>Extremo</v>
      </c>
      <c r="AE140" s="170"/>
      <c r="AF140" s="123"/>
      <c r="AG140" s="123"/>
      <c r="AH140" s="175"/>
      <c r="AI140" s="176"/>
      <c r="AJ140" s="177"/>
      <c r="AK140" s="522"/>
      <c r="AL140" s="534"/>
      <c r="AM140" s="534"/>
      <c r="AN140" s="534"/>
      <c r="AO140" s="534"/>
      <c r="AP140" s="534"/>
      <c r="AQ140" s="534"/>
      <c r="AR140" s="534"/>
      <c r="AS140" s="178"/>
      <c r="AT140" s="178"/>
      <c r="AU140" s="178"/>
      <c r="AV140" s="178"/>
      <c r="AW140" s="178"/>
      <c r="AX140" s="178"/>
      <c r="AY140" s="178"/>
      <c r="AZ140" s="178"/>
      <c r="BA140" s="178"/>
      <c r="BB140" s="178"/>
      <c r="BC140" s="178"/>
      <c r="BD140" s="178"/>
      <c r="BE140" s="178"/>
      <c r="BF140" s="178"/>
      <c r="BG140" s="178"/>
      <c r="BH140" s="178"/>
      <c r="BI140" s="178"/>
      <c r="BJ140" s="178"/>
    </row>
    <row r="141" spans="2:62" ht="140.25" x14ac:dyDescent="0.2">
      <c r="B141" s="314"/>
      <c r="C141" s="316"/>
      <c r="D141" s="317"/>
      <c r="E141" s="313"/>
      <c r="F141" s="313"/>
      <c r="G141" s="304"/>
      <c r="H141" s="305"/>
      <c r="I141" s="306"/>
      <c r="J141" s="307"/>
      <c r="K141" s="308"/>
      <c r="L141" s="307">
        <f>IF(NOT(ISERROR(MATCH(K141,_xlfn.ANCHORARRAY(G383),0))),J385&amp;"Por favor no seleccionar los criterios de impacto",K141)</f>
        <v>0</v>
      </c>
      <c r="M141" s="306"/>
      <c r="N141" s="307"/>
      <c r="O141" s="309"/>
      <c r="P141" s="168">
        <v>2</v>
      </c>
      <c r="Q141" s="129" t="s">
        <v>339</v>
      </c>
      <c r="R141" s="169" t="str">
        <f>IF(OR(S141="Preventivo",S141="Detectivo"),"Probabilidad",IF(S141="Correctivo","Impacto",""))</f>
        <v>Probabilidad</v>
      </c>
      <c r="S141" s="170" t="s">
        <v>112</v>
      </c>
      <c r="T141" s="170" t="s">
        <v>113</v>
      </c>
      <c r="U141" s="171" t="str">
        <f t="shared" ref="U141:U143" si="231">IF(AND(S141="Preventivo",T141="Automático"),"50%",IF(AND(S141="Preventivo",T141="Manual"),"40%",IF(AND(S141="Detectivo",T141="Automático"),"40%",IF(AND(S141="Detectivo",T141="Manual"),"30%",IF(AND(S141="Correctivo",T141="Automático"),"35%",IF(AND(S141="Correctivo",T141="Manual"),"25%",""))))))</f>
        <v>40%</v>
      </c>
      <c r="V141" s="170" t="s">
        <v>114</v>
      </c>
      <c r="W141" s="170" t="s">
        <v>115</v>
      </c>
      <c r="X141" s="170" t="s">
        <v>134</v>
      </c>
      <c r="Y141" s="172">
        <f>IFERROR(IF(AND(R140="Probabilidad",R141="Probabilidad"),(AA140-(+AA140*U141)),IF(R141="Probabilidad",(J140-(+J140*U141)),IF(R141="Impacto",AA140,""))),"")</f>
        <v>7.1999999999999995E-2</v>
      </c>
      <c r="Z141" s="173" t="str">
        <f t="shared" ref="Z141:Z143" si="232">IFERROR(IF(Y141="","",IF(Y141&lt;=0.2,"Rara vez",IF(Y141&lt;=0.4,"Improbable",IF(Y141&lt;=0.6,"Posible",IF(Y141&lt;=0.8,"Probable","Casi Seguro"))))),"")</f>
        <v>Rara vez</v>
      </c>
      <c r="AA141" s="171">
        <f t="shared" ref="AA141:AA143" si="233">+Y141</f>
        <v>7.1999999999999995E-2</v>
      </c>
      <c r="AB141" s="173" t="str">
        <f t="shared" ref="AB141:AB143" si="234">IFERROR(IF(AC141="","",IF(AC141&lt;=0.6,"Moderado",IF(AC141&lt;=0.8,"Mayor","Catastrófico"))),"")</f>
        <v>Catastrófico</v>
      </c>
      <c r="AC141" s="171">
        <f>IFERROR(IF(AND(R140="Impacto",R141="Impacto"),(AC140-(+AC140*U141)),IF(R141="Impacto",(N140-(+N140*U141)),IF(R141="Probabilidad",AC140,""))),"")</f>
        <v>1</v>
      </c>
      <c r="AD141" s="174" t="str">
        <f>IFERROR(IF(OR(AND(Z141="Rara vez",AB141="Leve"),AND(Z141="Rara vez",AB141="Menor"),AND(Z141="Improbable",AB141="Leve")),"Bajo",IF(OR(AND(Z141="Rara vez",AB141="Moderado"),AND(Z141="Improbable",AB141="Menor"),AND(Z141="Improbable",AB141="Moderado"),AND(Z141="Posible",AB141="Leve"),AND(Z141="Posible",AB141="Menor"),AND(Z141="Posible",AB141="Moderado"),AND(Z141="Probable",AB141="Leve"),AND(Z141="Probable",AB141="Menor")),"Moderado",IF(OR(AND(Z141="Rara vez",AB141="Mayor"),AND(Z141="Improbable",AB141="Mayor"),AND(Z141="Posible",AB141="Mayor"),AND(Z141="Probable",AB141="Moderado"),AND(Z141="Probable",AB141="Mayor"),AND(Z141="Casi Seguro",AB141="Leve"),AND(Z141="Casi Seguro",AB141="Menor"),AND(Z141="Casi Seguro",AB141="Moderado"),AND(Z141="Casi Seguro",AB141="Mayor")),"Alto",IF(OR(AND(Z141="Rara vez",AB141="Catastrófico"),AND(Z141="Improbable",AB141="Catastrófico"),AND(Z141="Posible",AB141="Catastrófico"),AND(Z141="Probable",AB141="Catastrófico"),AND(Z141="Casi Seguro",AB141="Catastrófico")),"Extremo","")))),"")</f>
        <v>Extremo</v>
      </c>
      <c r="AE141" s="170"/>
      <c r="AF141" s="132"/>
      <c r="AG141" s="194"/>
      <c r="AH141" s="195"/>
      <c r="AI141" s="176"/>
      <c r="AJ141" s="181"/>
      <c r="AK141" s="522"/>
      <c r="AL141" s="535"/>
      <c r="AM141" s="535"/>
      <c r="AN141" s="535"/>
      <c r="AO141" s="535"/>
      <c r="AP141" s="535"/>
      <c r="AQ141" s="535"/>
      <c r="AR141" s="535"/>
      <c r="AS141" s="158"/>
      <c r="AT141" s="158"/>
      <c r="AU141" s="158"/>
      <c r="AV141" s="158"/>
      <c r="AW141" s="158"/>
      <c r="AX141" s="158"/>
      <c r="AY141" s="158"/>
      <c r="AZ141" s="158"/>
      <c r="BA141" s="158"/>
      <c r="BB141" s="158"/>
      <c r="BC141" s="158"/>
      <c r="BD141" s="158"/>
      <c r="BE141" s="158"/>
      <c r="BF141" s="158"/>
      <c r="BG141" s="158"/>
      <c r="BH141" s="158"/>
      <c r="BI141" s="158"/>
      <c r="BJ141" s="158"/>
    </row>
    <row r="142" spans="2:62" ht="76.5" x14ac:dyDescent="0.2">
      <c r="B142" s="314"/>
      <c r="C142" s="316"/>
      <c r="D142" s="317"/>
      <c r="E142" s="313"/>
      <c r="F142" s="313"/>
      <c r="G142" s="304"/>
      <c r="H142" s="305"/>
      <c r="I142" s="306"/>
      <c r="J142" s="307"/>
      <c r="K142" s="308"/>
      <c r="L142" s="307">
        <f>IF(NOT(ISERROR(MATCH(K142,_xlfn.ANCHORARRAY(G384),0))),J386&amp;"Por favor no seleccionar los criterios de impacto",K142)</f>
        <v>0</v>
      </c>
      <c r="M142" s="306"/>
      <c r="N142" s="307"/>
      <c r="O142" s="309"/>
      <c r="P142" s="168">
        <v>3</v>
      </c>
      <c r="Q142" s="129" t="s">
        <v>340</v>
      </c>
      <c r="R142" s="169" t="s">
        <v>136</v>
      </c>
      <c r="S142" s="182" t="s">
        <v>137</v>
      </c>
      <c r="T142" s="170" t="s">
        <v>113</v>
      </c>
      <c r="U142" s="171" t="str">
        <f t="shared" si="231"/>
        <v>25%</v>
      </c>
      <c r="V142" s="170" t="s">
        <v>114</v>
      </c>
      <c r="W142" s="170" t="s">
        <v>115</v>
      </c>
      <c r="X142" s="170" t="s">
        <v>134</v>
      </c>
      <c r="Y142" s="172">
        <f>IFERROR(IF(AND(R141="Probabilidad",R142="Probabilidad"),(AA141-(+AA141*U142)),IF(AND(R141="Impacto",R142="Probabilidad"),(AA140-(+AA140*U142)),IF(R142="Impacto",AA141,""))),"")</f>
        <v>7.1999999999999995E-2</v>
      </c>
      <c r="Z142" s="173" t="str">
        <f t="shared" si="232"/>
        <v>Rara vez</v>
      </c>
      <c r="AA142" s="171">
        <f t="shared" si="233"/>
        <v>7.1999999999999995E-2</v>
      </c>
      <c r="AB142" s="173" t="str">
        <f t="shared" si="234"/>
        <v>Mayor</v>
      </c>
      <c r="AC142" s="171">
        <f>IFERROR(IF(AND(R141="Impacto",R142="Impacto"),(AC141-(+AC141*U142)),IF(AND(R141="Probabilidad",R142="Impacto"),(AC140-(+AC140*U142)),IF(R142="Probabilidad",AC141,""))),"")</f>
        <v>0.75</v>
      </c>
      <c r="AD142" s="174" t="str">
        <f>IFERROR(IF(OR(AND(Z142="Rara vez",AB142="Leve"),AND(Z142="Rara vez",AB142="Menor"),AND(Z142="Improbable",AB142="Leve")),"Bajo",IF(OR(AND(Z142="Rara vez",AB142="Moderado"),AND(Z142="Improbable",AB142="Menor"),AND(Z142="Improbable",AB142="Moderado"),AND(Z142="Posible",AB142="Leve"),AND(Z142="Posible",AB142="Menor"),AND(Z142="Posible",AB142="Moderado"),AND(Z142="Probable",AB142="Leve"),AND(Z142="Probable",AB142="Menor")),"Moderado",IF(OR(AND(Z142="Rara vez",AB142="Mayor"),AND(Z142="Improbable",AB142="Mayor"),AND(Z142="Posible",AB142="Mayor"),AND(Z142="Probable",AB142="Moderado"),AND(Z142="Probable",AB142="Mayor"),AND(Z142="Casi Seguro",AB142="Leve"),AND(Z142="Casi Seguro",AB142="Menor"),AND(Z142="Casi Seguro",AB142="Moderado"),AND(Z142="Casi Seguro",AB142="Mayor")),"Alto",IF(OR(AND(Z142="Rara vez",AB142="Catastrófico"),AND(Z142="Improbable",AB142="Catastrófico"),AND(Z142="Posible",AB142="Catastrófico"),AND(Z142="Probable",AB142="Catastrófico"),AND(Z142="Casi Seguro",AB142="Catastrófico")),"Extremo","")))),"")</f>
        <v>Alto</v>
      </c>
      <c r="AE142" s="196"/>
      <c r="AF142" s="136"/>
      <c r="AG142" s="137"/>
      <c r="AH142" s="131"/>
      <c r="AI142" s="187"/>
      <c r="AJ142" s="188"/>
      <c r="AK142" s="523"/>
      <c r="AL142" s="535"/>
      <c r="AM142" s="535"/>
      <c r="AN142" s="535"/>
      <c r="AO142" s="535"/>
      <c r="AP142" s="535"/>
      <c r="AQ142" s="535"/>
      <c r="AR142" s="535"/>
      <c r="AS142" s="158"/>
      <c r="AT142" s="158"/>
      <c r="AU142" s="158"/>
      <c r="AV142" s="158"/>
      <c r="AW142" s="158"/>
      <c r="AX142" s="158"/>
      <c r="AY142" s="158"/>
      <c r="AZ142" s="158"/>
      <c r="BA142" s="158"/>
      <c r="BB142" s="158"/>
      <c r="BC142" s="158"/>
      <c r="BD142" s="158"/>
      <c r="BE142" s="158"/>
      <c r="BF142" s="158"/>
      <c r="BG142" s="158"/>
      <c r="BH142" s="158"/>
      <c r="BI142" s="158"/>
      <c r="BJ142" s="158"/>
    </row>
    <row r="143" spans="2:62" ht="127.5" x14ac:dyDescent="0.2">
      <c r="B143" s="314"/>
      <c r="C143" s="316"/>
      <c r="D143" s="317"/>
      <c r="E143" s="313"/>
      <c r="F143" s="313"/>
      <c r="G143" s="304"/>
      <c r="H143" s="305"/>
      <c r="I143" s="306"/>
      <c r="J143" s="307"/>
      <c r="K143" s="308"/>
      <c r="L143" s="307">
        <f>IF(NOT(ISERROR(MATCH(K143,_xlfn.ANCHORARRAY(G385),0))),J387&amp;"Por favor no seleccionar los criterios de impacto",K143)</f>
        <v>0</v>
      </c>
      <c r="M143" s="306"/>
      <c r="N143" s="307"/>
      <c r="O143" s="309"/>
      <c r="P143" s="168">
        <v>4</v>
      </c>
      <c r="Q143" s="129" t="s">
        <v>341</v>
      </c>
      <c r="R143" s="169" t="s">
        <v>118</v>
      </c>
      <c r="S143" s="170" t="s">
        <v>133</v>
      </c>
      <c r="T143" s="170" t="s">
        <v>113</v>
      </c>
      <c r="U143" s="171" t="str">
        <f t="shared" si="231"/>
        <v>30%</v>
      </c>
      <c r="V143" s="170" t="s">
        <v>114</v>
      </c>
      <c r="W143" s="170" t="s">
        <v>115</v>
      </c>
      <c r="X143" s="170" t="s">
        <v>134</v>
      </c>
      <c r="Y143" s="172">
        <f t="shared" ref="Y143" si="235">IFERROR(IF(AND(R142="Probabilidad",R143="Probabilidad"),(AA142-(+AA142*U143)),IF(AND(R142="Impacto",R143="Probabilidad"),(AA141-(+AA141*U143)),IF(R143="Impacto",AA142,""))),"")</f>
        <v>5.04E-2</v>
      </c>
      <c r="Z143" s="173" t="str">
        <f t="shared" si="232"/>
        <v>Rara vez</v>
      </c>
      <c r="AA143" s="171">
        <f t="shared" si="233"/>
        <v>5.04E-2</v>
      </c>
      <c r="AB143" s="173" t="str">
        <f t="shared" si="234"/>
        <v>Mayor</v>
      </c>
      <c r="AC143" s="171">
        <f t="shared" ref="AC143" si="236">IFERROR(IF(AND(R142="Impacto",R143="Impacto"),(AC142-(+AC142*U143)),IF(AND(R142="Probabilidad",R143="Impacto"),(AC141-(+AC141*U143)),IF(R143="Probabilidad",AC142,""))),"")</f>
        <v>0.75</v>
      </c>
      <c r="AD143" s="174" t="str">
        <f t="shared" ref="AD143" si="237">IFERROR(IF(OR(AND(Z143="Rara vez",AB143="Leve"),AND(Z143="Rara vez",AB143="Menor"),AND(Z143="Improbable",AB143="Leve")),"Bajo",IF(OR(AND(Z143="Rara vez",AB143="Moderado"),AND(Z143="Improbable",AB143="Menor"),AND(Z143="Improbable",AB143="Moderado"),AND(Z143="Posible",AB143="Leve"),AND(Z143="Posible",AB143="Menor"),AND(Z143="Posible",AB143="Moderado"),AND(Z143="Probable",AB143="Leve"),AND(Z143="Probable",AB143="Menor")),"Moderado",IF(OR(AND(Z143="Rara vez",AB143="Mayor"),AND(Z143="Improbable",AB143="Mayor"),AND(Z143="Posible",AB143="Mayor"),AND(Z143="Probable",AB143="Moderado"),AND(Z143="Probable",AB143="Mayor"),AND(Z143="Casi Seguro",AB143="Leve"),AND(Z143="Casi Seguro",AB143="Menor"),AND(Z143="Casi Seguro",AB143="Moderado"),AND(Z143="Casi Seguro",AB143="Mayor")),"Alto",IF(OR(AND(Z143="Rara vez",AB143="Catastrófico"),AND(Z143="Improbable",AB143="Catastrófico"),AND(Z143="Posible",AB143="Catastrófico"),AND(Z143="Probable",AB143="Catastrófico"),AND(Z143="Casi Seguro",AB143="Catastrófico")),"Extremo","")))),"")</f>
        <v>Alto</v>
      </c>
      <c r="AE143" s="170" t="s">
        <v>120</v>
      </c>
      <c r="AF143" s="136" t="s">
        <v>342</v>
      </c>
      <c r="AG143" s="203" t="s">
        <v>333</v>
      </c>
      <c r="AH143" s="202">
        <v>46022</v>
      </c>
      <c r="AI143" s="136"/>
      <c r="AJ143" s="200"/>
      <c r="AK143" s="525" t="s">
        <v>123</v>
      </c>
      <c r="AL143" s="535"/>
      <c r="AM143" s="535"/>
      <c r="AN143" s="535"/>
      <c r="AO143" s="535"/>
      <c r="AP143" s="535"/>
      <c r="AQ143" s="535"/>
      <c r="AR143" s="535"/>
      <c r="AS143" s="158"/>
      <c r="AT143" s="158"/>
      <c r="AU143" s="158"/>
      <c r="AV143" s="158"/>
      <c r="AW143" s="158"/>
      <c r="AX143" s="158"/>
      <c r="AY143" s="158"/>
      <c r="AZ143" s="158"/>
      <c r="BA143" s="158"/>
      <c r="BB143" s="158"/>
      <c r="BC143" s="158"/>
      <c r="BD143" s="158"/>
      <c r="BE143" s="158"/>
      <c r="BF143" s="158"/>
      <c r="BG143" s="158"/>
      <c r="BH143" s="158"/>
      <c r="BI143" s="158"/>
      <c r="BJ143" s="158"/>
    </row>
    <row r="144" spans="2:62" x14ac:dyDescent="0.2">
      <c r="B144" s="314"/>
      <c r="C144" s="316"/>
      <c r="D144" s="317"/>
      <c r="E144" s="313"/>
      <c r="F144" s="313"/>
      <c r="G144" s="304"/>
      <c r="H144" s="305"/>
      <c r="I144" s="306"/>
      <c r="J144" s="307"/>
      <c r="K144" s="308"/>
      <c r="L144" s="307">
        <f>IF(NOT(ISERROR(MATCH(K144,_xlfn.ANCHORARRAY(G386),0))),J388&amp;"Por favor no seleccionar los criterios de impacto",K144)</f>
        <v>0</v>
      </c>
      <c r="M144" s="306"/>
      <c r="N144" s="307"/>
      <c r="O144" s="309"/>
      <c r="P144" s="168">
        <v>5</v>
      </c>
      <c r="Q144" s="126"/>
      <c r="R144" s="169"/>
      <c r="S144" s="170"/>
      <c r="T144" s="170"/>
      <c r="U144" s="171"/>
      <c r="V144" s="170"/>
      <c r="W144" s="170"/>
      <c r="X144" s="170"/>
      <c r="Y144" s="172"/>
      <c r="Z144" s="173"/>
      <c r="AA144" s="171"/>
      <c r="AB144" s="173"/>
      <c r="AC144" s="171"/>
      <c r="AD144" s="174"/>
      <c r="AE144" s="179"/>
      <c r="AF144" s="136"/>
      <c r="AG144" s="203"/>
      <c r="AH144" s="202"/>
      <c r="AI144" s="203"/>
      <c r="AJ144" s="136"/>
      <c r="AK144" s="525"/>
      <c r="AL144" s="535"/>
      <c r="AM144" s="535"/>
      <c r="AN144" s="535"/>
      <c r="AO144" s="535"/>
      <c r="AP144" s="535"/>
      <c r="AQ144" s="535"/>
      <c r="AR144" s="535"/>
      <c r="AS144" s="158"/>
      <c r="AT144" s="158"/>
      <c r="AU144" s="158"/>
      <c r="AV144" s="158"/>
      <c r="AW144" s="158"/>
      <c r="AX144" s="158"/>
      <c r="AY144" s="158"/>
      <c r="AZ144" s="158"/>
      <c r="BA144" s="158"/>
      <c r="BB144" s="158"/>
      <c r="BC144" s="158"/>
      <c r="BD144" s="158"/>
      <c r="BE144" s="158"/>
      <c r="BF144" s="158"/>
      <c r="BG144" s="158"/>
      <c r="BH144" s="158"/>
      <c r="BI144" s="158"/>
      <c r="BJ144" s="158"/>
    </row>
    <row r="145" spans="2:62" ht="14.25" customHeight="1" x14ac:dyDescent="0.2">
      <c r="B145" s="314"/>
      <c r="C145" s="320"/>
      <c r="D145" s="317"/>
      <c r="E145" s="313"/>
      <c r="F145" s="313"/>
      <c r="G145" s="304"/>
      <c r="H145" s="305"/>
      <c r="I145" s="306"/>
      <c r="J145" s="307"/>
      <c r="K145" s="308"/>
      <c r="L145" s="307">
        <f>IF(NOT(ISERROR(MATCH(K145,_xlfn.ANCHORARRAY(G387),0))),J389&amp;"Por favor no seleccionar los criterios de impacto",K145)</f>
        <v>0</v>
      </c>
      <c r="M145" s="306"/>
      <c r="N145" s="307"/>
      <c r="O145" s="309"/>
      <c r="P145" s="168">
        <v>6</v>
      </c>
      <c r="Q145" s="129"/>
      <c r="R145" s="169"/>
      <c r="S145" s="170"/>
      <c r="T145" s="170"/>
      <c r="U145" s="171"/>
      <c r="V145" s="170"/>
      <c r="W145" s="170"/>
      <c r="X145" s="170"/>
      <c r="Y145" s="172"/>
      <c r="Z145" s="173"/>
      <c r="AA145" s="171"/>
      <c r="AB145" s="173"/>
      <c r="AC145" s="171"/>
      <c r="AD145" s="174"/>
      <c r="AE145" s="170"/>
      <c r="AF145" s="136"/>
      <c r="AG145" s="136"/>
      <c r="AH145" s="131"/>
      <c r="AI145" s="131"/>
      <c r="AJ145" s="177"/>
      <c r="AK145" s="523"/>
      <c r="AL145" s="535"/>
      <c r="AM145" s="535"/>
      <c r="AN145" s="535"/>
      <c r="AO145" s="535"/>
      <c r="AP145" s="535"/>
      <c r="AQ145" s="535"/>
      <c r="AR145" s="535"/>
      <c r="AS145" s="158"/>
      <c r="AT145" s="158"/>
      <c r="AU145" s="158"/>
      <c r="AV145" s="158"/>
      <c r="AW145" s="158"/>
      <c r="AX145" s="158"/>
      <c r="AY145" s="158"/>
      <c r="AZ145" s="158"/>
      <c r="BA145" s="158"/>
      <c r="BB145" s="158"/>
      <c r="BC145" s="158"/>
      <c r="BD145" s="158"/>
      <c r="BE145" s="158"/>
      <c r="BF145" s="158"/>
      <c r="BG145" s="158"/>
      <c r="BH145" s="158"/>
      <c r="BI145" s="158"/>
      <c r="BJ145" s="158"/>
    </row>
    <row r="146" spans="2:62" s="163" customFormat="1" ht="129" customHeight="1" x14ac:dyDescent="0.25">
      <c r="B146" s="314" t="s">
        <v>343</v>
      </c>
      <c r="C146" s="315" t="s">
        <v>314</v>
      </c>
      <c r="D146" s="317" t="s">
        <v>344</v>
      </c>
      <c r="E146" s="313" t="s">
        <v>127</v>
      </c>
      <c r="F146" s="313" t="s">
        <v>180</v>
      </c>
      <c r="G146" s="304" t="s">
        <v>337</v>
      </c>
      <c r="H146" s="305" t="s">
        <v>109</v>
      </c>
      <c r="I146" s="306" t="str">
        <f>IF(H146&lt;=0,"",IF(H146="No se ha presentado en los últimos 5 años","Rara vez",IF(H146="Al menos 1 vez en los últimos 5 años","Improbable",IF(H146="Al menos 1 vez en los últimos 2 años","Posible",IF(H146="Al menos 1 vez en el último año","Probable",IF(H146="Más de 1 vez al año","Casi Seguro"))))))</f>
        <v>Rara vez</v>
      </c>
      <c r="J146" s="307">
        <f>IF(I146="","",IF(I146="Rara vez",0.2,IF(I146="Improbable",0.4,IF(I146="Posible",0.6,IF(I146="Probable",0.8,IF(I146="Casi Seguro",1,))))))</f>
        <v>0.2</v>
      </c>
      <c r="K146" s="308" t="s">
        <v>110</v>
      </c>
      <c r="L146" s="307" t="str">
        <f>IF(NOT(ISERROR(MATCH(K146,'Tabla Impacto'!$B$220:$B$222,0))),'Tabla Impacto'!$F$222&amp;"Por favor no seleccionar los criterios de impacto(Criterios para calificar el impacto)",K146)</f>
        <v>Responder afirmativamente de SEIS a ONCE</v>
      </c>
      <c r="M146" s="306" t="str">
        <f>IF(OR(L146='Tabla Impacto'!$C$5),"Moderado",IF(OR(L146='Tabla Impacto'!$C$6),"Mayor",IF(OR(L146='Tabla Impacto'!$C$7),"Catastrófico","")))</f>
        <v>Mayor</v>
      </c>
      <c r="N146" s="307">
        <f>IF(M146="","",IF(M146="Leve",0.2,IF(M146="Menor",0.4,IF(M146="Moderado",0.6,IF(M146="Mayor",0.8,IF(M146="Catastrófico",1,))))))</f>
        <v>0.8</v>
      </c>
      <c r="O146" s="309" t="str">
        <f>IF(OR(AND(I146="Rara vez",M146="Leve"),AND(I146="Rara vez",M146="Menor"),AND(I146="Improbable",M146="Leve")),"Bajo",IF(OR(AND(I146="Rara vez",M146="Moderado"),AND(I146="Improbable",M146="Menor"),AND(I146="Improbable",M146="Moderado"),AND(I146="Posible",M146="Leve"),AND(I146="Posible",M146="Menor"),AND(I146="Posible",M146="Moderado"),AND(I146="Probable",M146="Leve"),AND(I146="Probable",M146="Menor")),"Moderado",IF(OR(AND(I146="Rara vez",M146="Mayor"),AND(I146="Improbable",M146="Mayor"),AND(I146="Posible",M146="Mayor"),AND(I146="Probable",M146="Moderado"),AND(I146="Probable",M146="Mayor"),AND(I146="Casi Seguro",M146="Leve"),AND(I146="Casi Seguro",M146="Menor"),AND(I146="Casi Seguro",M146="Moderado"),AND(I146="Casi Seguro",M146="Mayor")),"Alto",IF(OR(AND(I146="Rara vez",M146="Catastrófico"),AND(I146="Improbable",M146="Catastrófico"),AND(I146="Posible",M146="Catastrófico"),AND(I146="Probable",M146="Catastrófico"),AND(I146="Casi Seguro",M146="Catastrófico")),"Extremo",""))))</f>
        <v>Alto</v>
      </c>
      <c r="P146" s="168">
        <v>1</v>
      </c>
      <c r="Q146" s="129" t="s">
        <v>345</v>
      </c>
      <c r="R146" s="169" t="str">
        <f>IF(OR(S146="Preventivo",S146="Detectivo"),"Probabilidad",IF(S146="Correctivo","Impacto",""))</f>
        <v>Probabilidad</v>
      </c>
      <c r="S146" s="170" t="s">
        <v>133</v>
      </c>
      <c r="T146" s="170" t="s">
        <v>113</v>
      </c>
      <c r="U146" s="171" t="str">
        <f>IF(AND(S146="Preventivo",T146="Automático"),"50%",IF(AND(S146="Preventivo",T146="Manual"),"40%",IF(AND(S146="Detectivo",T146="Automático"),"40%",IF(AND(S146="Detectivo",T146="Manual"),"30%",IF(AND(S146="Correctivo",T146="Automático"),"35%",IF(AND(S146="Correctivo",T146="Manual"),"25%",""))))))</f>
        <v>30%</v>
      </c>
      <c r="V146" s="170" t="s">
        <v>119</v>
      </c>
      <c r="W146" s="170" t="s">
        <v>115</v>
      </c>
      <c r="X146" s="170" t="s">
        <v>134</v>
      </c>
      <c r="Y146" s="172">
        <f>IFERROR(IF(R146="Probabilidad",(J146-(+J146*U146)),IF(R146="Impacto",J146,"")),"")</f>
        <v>0.14000000000000001</v>
      </c>
      <c r="Z146" s="173" t="str">
        <f>IFERROR(IF(Y146="","",IF(Y146&lt;=0.2,"Rara vez",IF(Y146&lt;=0.4,"Improbable",IF(Y146&lt;=0.6,"Posible",IF(Y146&lt;=0.8,"Probable","Casi Seguro"))))),"")</f>
        <v>Rara vez</v>
      </c>
      <c r="AA146" s="171">
        <f>+Y146</f>
        <v>0.14000000000000001</v>
      </c>
      <c r="AB146" s="173" t="str">
        <f>IFERROR(IF(AC146="","",IF(AC146&lt;=0.6,"Moderado",IF(AC146&lt;=0.8,"Mayor","Catastrófico"))),"")</f>
        <v>Mayor</v>
      </c>
      <c r="AC146" s="171">
        <f>IFERROR(IF(R146="Impacto",(N146-(+N146*U146)),IF(R146="Probabilidad",N146,"")),"")</f>
        <v>0.8</v>
      </c>
      <c r="AD146" s="174" t="str">
        <f>IFERROR(IF(OR(AND(Z146="Rara vez",AB146="Leve"),AND(Z146="Rara vez",AB146="Menor"),AND(Z146="Improbable",AB146="Leve")),"Bajo",IF(OR(AND(Z146="Rara vez",AB146="Moderado"),AND(Z146="Improbable",AB146="Menor"),AND(Z146="Improbable",AB146="Moderado"),AND(Z146="Posible",AB146="Leve"),AND(Z146="Posible",AB146="Menor"),AND(Z146="Posible",AB146="Moderado"),AND(Z146="Probable",AB146="Leve"),AND(Z146="Probable",AB146="Menor")),"Moderado",IF(OR(AND(Z146="Rara vez",AB146="Mayor"),AND(Z146="Improbable",AB146="Mayor"),AND(Z146="Posible",AB146="Mayor"),AND(Z146="Probable",AB146="Moderado"),AND(Z146="Probable",AB146="Mayor"),AND(Z146="Casi Seguro",AB146="Leve"),AND(Z146="Casi Seguro",AB146="Menor"),AND(Z146="Casi Seguro",AB146="Moderado"),AND(Z146="Casi Seguro",AB146="Mayor")),"Alto",IF(OR(AND(Z146="Rara vez",AB146="Catastrófico"),AND(Z146="Improbable",AB146="Catastrófico"),AND(Z146="Posible",AB146="Catastrófico"),AND(Z146="Probable",AB146="Catastrófico"),AND(Z146="Casi Seguro",AB146="Catastrófico")),"Extremo","")))),"")</f>
        <v>Alto</v>
      </c>
      <c r="AE146" s="170"/>
      <c r="AF146" s="123"/>
      <c r="AG146" s="123"/>
      <c r="AH146" s="175"/>
      <c r="AI146" s="176"/>
      <c r="AJ146" s="177"/>
      <c r="AK146" s="522"/>
      <c r="AL146" s="534"/>
      <c r="AM146" s="534"/>
      <c r="AN146" s="534"/>
      <c r="AO146" s="534"/>
      <c r="AP146" s="534"/>
      <c r="AQ146" s="534"/>
      <c r="AR146" s="534"/>
      <c r="AS146" s="178"/>
      <c r="AT146" s="178"/>
      <c r="AU146" s="178"/>
      <c r="AV146" s="178"/>
      <c r="AW146" s="178"/>
      <c r="AX146" s="178"/>
      <c r="AY146" s="178"/>
      <c r="AZ146" s="178"/>
      <c r="BA146" s="178"/>
      <c r="BB146" s="178"/>
      <c r="BC146" s="178"/>
      <c r="BD146" s="178"/>
      <c r="BE146" s="178"/>
      <c r="BF146" s="178"/>
      <c r="BG146" s="178"/>
      <c r="BH146" s="178"/>
      <c r="BI146" s="178"/>
      <c r="BJ146" s="178"/>
    </row>
    <row r="147" spans="2:62" ht="75" x14ac:dyDescent="0.2">
      <c r="B147" s="314"/>
      <c r="C147" s="316"/>
      <c r="D147" s="317"/>
      <c r="E147" s="313"/>
      <c r="F147" s="313"/>
      <c r="G147" s="304"/>
      <c r="H147" s="305"/>
      <c r="I147" s="306"/>
      <c r="J147" s="307"/>
      <c r="K147" s="308"/>
      <c r="L147" s="307">
        <f>IF(NOT(ISERROR(MATCH(K147,_xlfn.ANCHORARRAY(G389),0))),J391&amp;"Por favor no seleccionar los criterios de impacto",K147)</f>
        <v>0</v>
      </c>
      <c r="M147" s="306"/>
      <c r="N147" s="307"/>
      <c r="O147" s="309"/>
      <c r="P147" s="168">
        <v>2</v>
      </c>
      <c r="Q147" s="129" t="s">
        <v>346</v>
      </c>
      <c r="R147" s="169" t="str">
        <f>IF(OR(S147="Preventivo",S147="Detectivo"),"Probabilidad",IF(S147="Correctivo","Impacto",""))</f>
        <v>Probabilidad</v>
      </c>
      <c r="S147" s="170" t="s">
        <v>133</v>
      </c>
      <c r="T147" s="170" t="s">
        <v>113</v>
      </c>
      <c r="U147" s="171" t="str">
        <f t="shared" ref="U147:U149" si="238">IF(AND(S147="Preventivo",T147="Automático"),"50%",IF(AND(S147="Preventivo",T147="Manual"),"40%",IF(AND(S147="Detectivo",T147="Automático"),"40%",IF(AND(S147="Detectivo",T147="Manual"),"30%",IF(AND(S147="Correctivo",T147="Automático"),"35%",IF(AND(S147="Correctivo",T147="Manual"),"25%",""))))))</f>
        <v>30%</v>
      </c>
      <c r="V147" s="170" t="s">
        <v>114</v>
      </c>
      <c r="W147" s="170" t="s">
        <v>115</v>
      </c>
      <c r="X147" s="170" t="s">
        <v>134</v>
      </c>
      <c r="Y147" s="172">
        <f>IFERROR(IF(AND(R146="Probabilidad",R147="Probabilidad"),(AA146-(+AA146*U147)),IF(R147="Probabilidad",(J146-(+J146*U147)),IF(R147="Impacto",AA146,""))),"")</f>
        <v>9.8000000000000004E-2</v>
      </c>
      <c r="Z147" s="173" t="str">
        <f t="shared" ref="Z147:Z149" si="239">IFERROR(IF(Y147="","",IF(Y147&lt;=0.2,"Rara vez",IF(Y147&lt;=0.4,"Improbable",IF(Y147&lt;=0.6,"Posible",IF(Y147&lt;=0.8,"Probable","Casi Seguro"))))),"")</f>
        <v>Rara vez</v>
      </c>
      <c r="AA147" s="171">
        <f t="shared" ref="AA147:AA149" si="240">+Y147</f>
        <v>9.8000000000000004E-2</v>
      </c>
      <c r="AB147" s="173" t="str">
        <f t="shared" ref="AB147:AB149" si="241">IFERROR(IF(AC147="","",IF(AC147&lt;=0.6,"Moderado",IF(AC147&lt;=0.8,"Mayor","Catastrófico"))),"")</f>
        <v>Mayor</v>
      </c>
      <c r="AC147" s="171">
        <f>IFERROR(IF(AND(R146="Impacto",R147="Impacto"),(AC146-(+AC146*U147)),IF(R147="Impacto",(N146-(+N146*U147)),IF(R147="Probabilidad",AC146,""))),"")</f>
        <v>0.8</v>
      </c>
      <c r="AD147" s="174" t="str">
        <f>IFERROR(IF(OR(AND(Z147="Rara vez",AB147="Leve"),AND(Z147="Rara vez",AB147="Menor"),AND(Z147="Improbable",AB147="Leve")),"Bajo",IF(OR(AND(Z147="Rara vez",AB147="Moderado"),AND(Z147="Improbable",AB147="Menor"),AND(Z147="Improbable",AB147="Moderado"),AND(Z147="Posible",AB147="Leve"),AND(Z147="Posible",AB147="Menor"),AND(Z147="Posible",AB147="Moderado"),AND(Z147="Probable",AB147="Leve"),AND(Z147="Probable",AB147="Menor")),"Moderado",IF(OR(AND(Z147="Rara vez",AB147="Mayor"),AND(Z147="Improbable",AB147="Mayor"),AND(Z147="Posible",AB147="Mayor"),AND(Z147="Probable",AB147="Moderado"),AND(Z147="Probable",AB147="Mayor"),AND(Z147="Casi Seguro",AB147="Leve"),AND(Z147="Casi Seguro",AB147="Menor"),AND(Z147="Casi Seguro",AB147="Moderado"),AND(Z147="Casi Seguro",AB147="Mayor")),"Alto",IF(OR(AND(Z147="Rara vez",AB147="Catastrófico"),AND(Z147="Improbable",AB147="Catastrófico"),AND(Z147="Posible",AB147="Catastrófico"),AND(Z147="Probable",AB147="Catastrófico"),AND(Z147="Casi Seguro",AB147="Catastrófico")),"Extremo","")))),"")</f>
        <v>Alto</v>
      </c>
      <c r="AE147" s="170"/>
      <c r="AF147" s="132"/>
      <c r="AG147" s="194"/>
      <c r="AH147" s="195"/>
      <c r="AI147" s="176"/>
      <c r="AJ147" s="181"/>
      <c r="AK147" s="522"/>
      <c r="AL147" s="535"/>
      <c r="AM147" s="535"/>
      <c r="AN147" s="535"/>
      <c r="AO147" s="535"/>
      <c r="AP147" s="535"/>
      <c r="AQ147" s="535"/>
      <c r="AR147" s="535"/>
      <c r="AS147" s="158"/>
      <c r="AT147" s="158"/>
      <c r="AU147" s="158"/>
      <c r="AV147" s="158"/>
      <c r="AW147" s="158"/>
      <c r="AX147" s="158"/>
      <c r="AY147" s="158"/>
      <c r="AZ147" s="158"/>
      <c r="BA147" s="158"/>
      <c r="BB147" s="158"/>
      <c r="BC147" s="158"/>
      <c r="BD147" s="158"/>
      <c r="BE147" s="158"/>
      <c r="BF147" s="158"/>
      <c r="BG147" s="158"/>
      <c r="BH147" s="158"/>
      <c r="BI147" s="158"/>
      <c r="BJ147" s="158"/>
    </row>
    <row r="148" spans="2:62" ht="75" x14ac:dyDescent="0.2">
      <c r="B148" s="314"/>
      <c r="C148" s="316"/>
      <c r="D148" s="317"/>
      <c r="E148" s="313"/>
      <c r="F148" s="313"/>
      <c r="G148" s="304"/>
      <c r="H148" s="305"/>
      <c r="I148" s="306"/>
      <c r="J148" s="307"/>
      <c r="K148" s="308"/>
      <c r="L148" s="307">
        <f>IF(NOT(ISERROR(MATCH(K148,_xlfn.ANCHORARRAY(G390),0))),J392&amp;"Por favor no seleccionar los criterios de impacto",K148)</f>
        <v>0</v>
      </c>
      <c r="M148" s="306"/>
      <c r="N148" s="307"/>
      <c r="O148" s="309"/>
      <c r="P148" s="168">
        <v>3</v>
      </c>
      <c r="Q148" s="129" t="s">
        <v>347</v>
      </c>
      <c r="R148" s="169" t="s">
        <v>118</v>
      </c>
      <c r="S148" s="170" t="s">
        <v>133</v>
      </c>
      <c r="T148" s="170" t="s">
        <v>113</v>
      </c>
      <c r="U148" s="171" t="str">
        <f t="shared" si="238"/>
        <v>30%</v>
      </c>
      <c r="V148" s="170" t="s">
        <v>114</v>
      </c>
      <c r="W148" s="170" t="s">
        <v>115</v>
      </c>
      <c r="X148" s="170" t="s">
        <v>134</v>
      </c>
      <c r="Y148" s="172">
        <f>IFERROR(IF(AND(R147="Probabilidad",R148="Probabilidad"),(AA147-(+AA147*U148)),IF(AND(R147="Impacto",R148="Probabilidad"),(AA146-(+AA146*U148)),IF(R148="Impacto",AA147,""))),"")</f>
        <v>6.8600000000000008E-2</v>
      </c>
      <c r="Z148" s="173" t="str">
        <f t="shared" si="239"/>
        <v>Rara vez</v>
      </c>
      <c r="AA148" s="171">
        <f t="shared" si="240"/>
        <v>6.8600000000000008E-2</v>
      </c>
      <c r="AB148" s="173" t="str">
        <f t="shared" si="241"/>
        <v>Mayor</v>
      </c>
      <c r="AC148" s="171">
        <f>IFERROR(IF(AND(R147="Impacto",R148="Impacto"),(AC147-(+AC147*U148)),IF(AND(R147="Probabilidad",R148="Impacto"),(AC146-(+AC146*U148)),IF(R148="Probabilidad",AC147,""))),"")</f>
        <v>0.8</v>
      </c>
      <c r="AD148" s="174" t="str">
        <f>IFERROR(IF(OR(AND(Z148="Rara vez",AB148="Leve"),AND(Z148="Rara vez",AB148="Menor"),AND(Z148="Improbable",AB148="Leve")),"Bajo",IF(OR(AND(Z148="Rara vez",AB148="Moderado"),AND(Z148="Improbable",AB148="Menor"),AND(Z148="Improbable",AB148="Moderado"),AND(Z148="Posible",AB148="Leve"),AND(Z148="Posible",AB148="Menor"),AND(Z148="Posible",AB148="Moderado"),AND(Z148="Probable",AB148="Leve"),AND(Z148="Probable",AB148="Menor")),"Moderado",IF(OR(AND(Z148="Rara vez",AB148="Mayor"),AND(Z148="Improbable",AB148="Mayor"),AND(Z148="Posible",AB148="Mayor"),AND(Z148="Probable",AB148="Moderado"),AND(Z148="Probable",AB148="Mayor"),AND(Z148="Casi Seguro",AB148="Leve"),AND(Z148="Casi Seguro",AB148="Menor"),AND(Z148="Casi Seguro",AB148="Moderado"),AND(Z148="Casi Seguro",AB148="Mayor")),"Alto",IF(OR(AND(Z148="Rara vez",AB148="Catastrófico"),AND(Z148="Improbable",AB148="Catastrófico"),AND(Z148="Posible",AB148="Catastrófico"),AND(Z148="Probable",AB148="Catastrófico"),AND(Z148="Casi Seguro",AB148="Catastrófico")),"Extremo","")))),"")</f>
        <v>Alto</v>
      </c>
      <c r="AE148" s="196"/>
      <c r="AF148" s="136"/>
      <c r="AG148" s="137"/>
      <c r="AH148" s="131"/>
      <c r="AI148" s="187"/>
      <c r="AJ148" s="188"/>
      <c r="AK148" s="523"/>
      <c r="AL148" s="535"/>
      <c r="AM148" s="535"/>
      <c r="AN148" s="535"/>
      <c r="AO148" s="535"/>
      <c r="AP148" s="535"/>
      <c r="AQ148" s="535"/>
      <c r="AR148" s="535"/>
      <c r="AS148" s="158"/>
      <c r="AT148" s="158"/>
      <c r="AU148" s="158"/>
      <c r="AV148" s="158"/>
      <c r="AW148" s="158"/>
      <c r="AX148" s="158"/>
      <c r="AY148" s="158"/>
      <c r="AZ148" s="158"/>
      <c r="BA148" s="158"/>
      <c r="BB148" s="158"/>
      <c r="BC148" s="158"/>
      <c r="BD148" s="158"/>
      <c r="BE148" s="158"/>
      <c r="BF148" s="158"/>
      <c r="BG148" s="158"/>
      <c r="BH148" s="158"/>
      <c r="BI148" s="158"/>
      <c r="BJ148" s="158"/>
    </row>
    <row r="149" spans="2:62" ht="76.5" x14ac:dyDescent="0.2">
      <c r="B149" s="314"/>
      <c r="C149" s="316"/>
      <c r="D149" s="317"/>
      <c r="E149" s="313"/>
      <c r="F149" s="313"/>
      <c r="G149" s="304"/>
      <c r="H149" s="305"/>
      <c r="I149" s="306"/>
      <c r="J149" s="307"/>
      <c r="K149" s="308"/>
      <c r="L149" s="307">
        <f>IF(NOT(ISERROR(MATCH(K149,_xlfn.ANCHORARRAY(G391),0))),J393&amp;"Por favor no seleccionar los criterios de impacto",K149)</f>
        <v>0</v>
      </c>
      <c r="M149" s="306"/>
      <c r="N149" s="307"/>
      <c r="O149" s="309"/>
      <c r="P149" s="168">
        <v>4</v>
      </c>
      <c r="Q149" s="129" t="s">
        <v>348</v>
      </c>
      <c r="R149" s="169" t="s">
        <v>136</v>
      </c>
      <c r="S149" s="182" t="s">
        <v>137</v>
      </c>
      <c r="T149" s="170" t="s">
        <v>113</v>
      </c>
      <c r="U149" s="171" t="str">
        <f t="shared" si="238"/>
        <v>25%</v>
      </c>
      <c r="V149" s="170" t="s">
        <v>114</v>
      </c>
      <c r="W149" s="170" t="s">
        <v>115</v>
      </c>
      <c r="X149" s="170" t="s">
        <v>134</v>
      </c>
      <c r="Y149" s="172">
        <f t="shared" ref="Y149" si="242">IFERROR(IF(AND(R148="Probabilidad",R149="Probabilidad"),(AA148-(+AA148*U149)),IF(AND(R148="Impacto",R149="Probabilidad"),(AA147-(+AA147*U149)),IF(R149="Impacto",AA148,""))),"")</f>
        <v>6.8600000000000008E-2</v>
      </c>
      <c r="Z149" s="173" t="str">
        <f t="shared" si="239"/>
        <v>Rara vez</v>
      </c>
      <c r="AA149" s="171">
        <f t="shared" si="240"/>
        <v>6.8600000000000008E-2</v>
      </c>
      <c r="AB149" s="173" t="str">
        <f t="shared" si="241"/>
        <v>Moderado</v>
      </c>
      <c r="AC149" s="171">
        <f t="shared" ref="AC149" si="243">IFERROR(IF(AND(R148="Impacto",R149="Impacto"),(AC148-(+AC148*U149)),IF(AND(R148="Probabilidad",R149="Impacto"),(AC147-(+AC147*U149)),IF(R149="Probabilidad",AC148,""))),"")</f>
        <v>0.60000000000000009</v>
      </c>
      <c r="AD149" s="174" t="str">
        <f t="shared" ref="AD149" si="244">IFERROR(IF(OR(AND(Z149="Rara vez",AB149="Leve"),AND(Z149="Rara vez",AB149="Menor"),AND(Z149="Improbable",AB149="Leve")),"Bajo",IF(OR(AND(Z149="Rara vez",AB149="Moderado"),AND(Z149="Improbable",AB149="Menor"),AND(Z149="Improbable",AB149="Moderado"),AND(Z149="Posible",AB149="Leve"),AND(Z149="Posible",AB149="Menor"),AND(Z149="Posible",AB149="Moderado"),AND(Z149="Probable",AB149="Leve"),AND(Z149="Probable",AB149="Menor")),"Moderado",IF(OR(AND(Z149="Rara vez",AB149="Mayor"),AND(Z149="Improbable",AB149="Mayor"),AND(Z149="Posible",AB149="Mayor"),AND(Z149="Probable",AB149="Moderado"),AND(Z149="Probable",AB149="Mayor"),AND(Z149="Casi Seguro",AB149="Leve"),AND(Z149="Casi Seguro",AB149="Menor"),AND(Z149="Casi Seguro",AB149="Moderado"),AND(Z149="Casi Seguro",AB149="Mayor")),"Alto",IF(OR(AND(Z149="Rara vez",AB149="Catastrófico"),AND(Z149="Improbable",AB149="Catastrófico"),AND(Z149="Posible",AB149="Catastrófico"),AND(Z149="Probable",AB149="Catastrófico"),AND(Z149="Casi Seguro",AB149="Catastrófico")),"Extremo","")))),"")</f>
        <v>Moderado</v>
      </c>
      <c r="AE149" s="170" t="s">
        <v>120</v>
      </c>
      <c r="AF149" s="136" t="s">
        <v>349</v>
      </c>
      <c r="AG149" s="203" t="s">
        <v>350</v>
      </c>
      <c r="AH149" s="202">
        <v>46022</v>
      </c>
      <c r="AI149" s="136"/>
      <c r="AJ149" s="200"/>
      <c r="AK149" s="525" t="s">
        <v>123</v>
      </c>
      <c r="AL149" s="535"/>
      <c r="AM149" s="535"/>
      <c r="AN149" s="535"/>
      <c r="AO149" s="535"/>
      <c r="AP149" s="535"/>
      <c r="AQ149" s="535"/>
      <c r="AR149" s="535"/>
      <c r="AS149" s="158"/>
      <c r="AT149" s="158"/>
      <c r="AU149" s="158"/>
      <c r="AV149" s="158"/>
      <c r="AW149" s="158"/>
      <c r="AX149" s="158"/>
      <c r="AY149" s="158"/>
      <c r="AZ149" s="158"/>
      <c r="BA149" s="158"/>
      <c r="BB149" s="158"/>
      <c r="BC149" s="158"/>
      <c r="BD149" s="158"/>
      <c r="BE149" s="158"/>
      <c r="BF149" s="158"/>
      <c r="BG149" s="158"/>
      <c r="BH149" s="158"/>
      <c r="BI149" s="158"/>
      <c r="BJ149" s="158"/>
    </row>
    <row r="150" spans="2:62" x14ac:dyDescent="0.2">
      <c r="B150" s="314"/>
      <c r="C150" s="316"/>
      <c r="D150" s="317"/>
      <c r="E150" s="313"/>
      <c r="F150" s="313"/>
      <c r="G150" s="304"/>
      <c r="H150" s="305"/>
      <c r="I150" s="306"/>
      <c r="J150" s="307"/>
      <c r="K150" s="308"/>
      <c r="L150" s="307">
        <f>IF(NOT(ISERROR(MATCH(K150,_xlfn.ANCHORARRAY(G392),0))),J394&amp;"Por favor no seleccionar los criterios de impacto",K150)</f>
        <v>0</v>
      </c>
      <c r="M150" s="306"/>
      <c r="N150" s="307"/>
      <c r="O150" s="309"/>
      <c r="P150" s="168">
        <v>5</v>
      </c>
      <c r="Q150" s="126"/>
      <c r="R150" s="169"/>
      <c r="S150" s="170"/>
      <c r="T150" s="170"/>
      <c r="U150" s="171"/>
      <c r="V150" s="170"/>
      <c r="W150" s="170"/>
      <c r="X150" s="170"/>
      <c r="Y150" s="172"/>
      <c r="Z150" s="173"/>
      <c r="AA150" s="171"/>
      <c r="AB150" s="173"/>
      <c r="AC150" s="171"/>
      <c r="AD150" s="174"/>
      <c r="AE150" s="179"/>
      <c r="AF150" s="136"/>
      <c r="AG150" s="203"/>
      <c r="AH150" s="202"/>
      <c r="AI150" s="203"/>
      <c r="AJ150" s="136"/>
      <c r="AK150" s="525"/>
      <c r="AL150" s="535"/>
      <c r="AM150" s="535"/>
      <c r="AN150" s="535"/>
      <c r="AO150" s="535"/>
      <c r="AP150" s="535"/>
      <c r="AQ150" s="535"/>
      <c r="AR150" s="535"/>
      <c r="AS150" s="158"/>
      <c r="AT150" s="158"/>
      <c r="AU150" s="158"/>
      <c r="AV150" s="158"/>
      <c r="AW150" s="158"/>
      <c r="AX150" s="158"/>
      <c r="AY150" s="158"/>
      <c r="AZ150" s="158"/>
      <c r="BA150" s="158"/>
      <c r="BB150" s="158"/>
      <c r="BC150" s="158"/>
      <c r="BD150" s="158"/>
      <c r="BE150" s="158"/>
      <c r="BF150" s="158"/>
      <c r="BG150" s="158"/>
      <c r="BH150" s="158"/>
      <c r="BI150" s="158"/>
      <c r="BJ150" s="158"/>
    </row>
    <row r="151" spans="2:62" ht="14.25" customHeight="1" x14ac:dyDescent="0.2">
      <c r="B151" s="314"/>
      <c r="C151" s="320"/>
      <c r="D151" s="317"/>
      <c r="E151" s="313"/>
      <c r="F151" s="313"/>
      <c r="G151" s="304"/>
      <c r="H151" s="305"/>
      <c r="I151" s="306"/>
      <c r="J151" s="307"/>
      <c r="K151" s="308"/>
      <c r="L151" s="307">
        <f>IF(NOT(ISERROR(MATCH(K151,_xlfn.ANCHORARRAY(G393),0))),J395&amp;"Por favor no seleccionar los criterios de impacto",K151)</f>
        <v>0</v>
      </c>
      <c r="M151" s="306"/>
      <c r="N151" s="307"/>
      <c r="O151" s="309"/>
      <c r="P151" s="168">
        <v>6</v>
      </c>
      <c r="Q151" s="129"/>
      <c r="R151" s="169"/>
      <c r="S151" s="170"/>
      <c r="T151" s="170"/>
      <c r="U151" s="171"/>
      <c r="V151" s="170"/>
      <c r="W151" s="170"/>
      <c r="X151" s="170"/>
      <c r="Y151" s="172"/>
      <c r="Z151" s="173"/>
      <c r="AA151" s="171"/>
      <c r="AB151" s="173"/>
      <c r="AC151" s="171"/>
      <c r="AD151" s="174"/>
      <c r="AE151" s="170"/>
      <c r="AF151" s="136"/>
      <c r="AG151" s="136"/>
      <c r="AH151" s="131"/>
      <c r="AI151" s="131"/>
      <c r="AJ151" s="177"/>
      <c r="AK151" s="523"/>
      <c r="AL151" s="535"/>
      <c r="AM151" s="535"/>
      <c r="AN151" s="535"/>
      <c r="AO151" s="535"/>
      <c r="AP151" s="535"/>
      <c r="AQ151" s="535"/>
      <c r="AR151" s="535"/>
      <c r="AS151" s="158"/>
      <c r="AT151" s="158"/>
      <c r="AU151" s="158"/>
      <c r="AV151" s="158"/>
      <c r="AW151" s="158"/>
      <c r="AX151" s="158"/>
      <c r="AY151" s="158"/>
      <c r="AZ151" s="158"/>
      <c r="BA151" s="158"/>
      <c r="BB151" s="158"/>
      <c r="BC151" s="158"/>
      <c r="BD151" s="158"/>
      <c r="BE151" s="158"/>
      <c r="BF151" s="158"/>
      <c r="BG151" s="158"/>
      <c r="BH151" s="158"/>
      <c r="BI151" s="158"/>
      <c r="BJ151" s="158"/>
    </row>
    <row r="152" spans="2:62" s="163" customFormat="1" ht="164.25" customHeight="1" x14ac:dyDescent="0.25">
      <c r="B152" s="314" t="s">
        <v>351</v>
      </c>
      <c r="C152" s="315" t="s">
        <v>314</v>
      </c>
      <c r="D152" s="317" t="s">
        <v>352</v>
      </c>
      <c r="E152" s="313" t="s">
        <v>127</v>
      </c>
      <c r="F152" s="313" t="s">
        <v>353</v>
      </c>
      <c r="G152" s="304" t="s">
        <v>354</v>
      </c>
      <c r="H152" s="305" t="s">
        <v>224</v>
      </c>
      <c r="I152" s="306" t="str">
        <f>IF(H152&lt;=0,"",IF(H152="No se ha presentado en los últimos 5 años","Rara vez",IF(H152="Al menos 1 vez en los últimos 5 años","Improbable",IF(H152="Al menos 1 vez en los últimos 2 años","Posible",IF(H152="Al menos 1 vez en el último año","Probable",IF(H152="Más de 1 vez al año","Casi Seguro"))))))</f>
        <v>Posible</v>
      </c>
      <c r="J152" s="307">
        <f>IF(I152="","",IF(I152="Rara vez",0.2,IF(I152="Improbable",0.4,IF(I152="Posible",0.6,IF(I152="Probable",0.8,IF(I152="Casi Seguro",1,))))))</f>
        <v>0.6</v>
      </c>
      <c r="K152" s="308" t="s">
        <v>131</v>
      </c>
      <c r="L152" s="307" t="str">
        <f>IF(NOT(ISERROR(MATCH(K152,'Tabla Impacto'!$B$220:$B$222,0))),'Tabla Impacto'!$F$222&amp;"Por favor no seleccionar los criterios de impacto(Criterios para calificar el impacto)",K152)</f>
        <v xml:space="preserve">Responder afirmativamente de DOCE a DIECINUEVE </v>
      </c>
      <c r="M152" s="306" t="str">
        <f>IF(OR(L152='Tabla Impacto'!$C$5),"Moderado",IF(OR(L152='Tabla Impacto'!$C$6),"Mayor",IF(OR(L152='Tabla Impacto'!$C$7),"Catastrófico","")))</f>
        <v>Catastrófico</v>
      </c>
      <c r="N152" s="307">
        <f>IF(M152="","",IF(M152="Leve",0.2,IF(M152="Menor",0.4,IF(M152="Moderado",0.6,IF(M152="Mayor",0.8,IF(M152="Catastrófico",1,))))))</f>
        <v>1</v>
      </c>
      <c r="O152" s="309" t="str">
        <f>IF(OR(AND(I152="Rara vez",M152="Leve"),AND(I152="Rara vez",M152="Menor"),AND(I152="Improbable",M152="Leve")),"Bajo",IF(OR(AND(I152="Rara vez",M152="Moderado"),AND(I152="Improbable",M152="Menor"),AND(I152="Improbable",M152="Moderado"),AND(I152="Posible",M152="Leve"),AND(I152="Posible",M152="Menor"),AND(I152="Posible",M152="Moderado"),AND(I152="Probable",M152="Leve"),AND(I152="Probable",M152="Menor")),"Moderado",IF(OR(AND(I152="Rara vez",M152="Mayor"),AND(I152="Improbable",M152="Mayor"),AND(I152="Posible",M152="Mayor"),AND(I152="Probable",M152="Moderado"),AND(I152="Probable",M152="Mayor"),AND(I152="Casi Seguro",M152="Leve"),AND(I152="Casi Seguro",M152="Menor"),AND(I152="Casi Seguro",M152="Moderado"),AND(I152="Casi Seguro",M152="Mayor")),"Alto",IF(OR(AND(I152="Rara vez",M152="Catastrófico"),AND(I152="Improbable",M152="Catastrófico"),AND(I152="Posible",M152="Catastrófico"),AND(I152="Probable",M152="Catastrófico"),AND(I152="Casi Seguro",M152="Catastrófico")),"Extremo",""))))</f>
        <v>Extremo</v>
      </c>
      <c r="P152" s="168">
        <v>1</v>
      </c>
      <c r="Q152" s="129" t="s">
        <v>355</v>
      </c>
      <c r="R152" s="169" t="str">
        <f>IF(OR(S152="Preventivo",S152="Detectivo"),"Probabilidad",IF(S152="Correctivo","Impacto",""))</f>
        <v>Probabilidad</v>
      </c>
      <c r="S152" s="170" t="s">
        <v>133</v>
      </c>
      <c r="T152" s="170" t="s">
        <v>113</v>
      </c>
      <c r="U152" s="171" t="str">
        <f>IF(AND(S152="Preventivo",T152="Automático"),"50%",IF(AND(S152="Preventivo",T152="Manual"),"40%",IF(AND(S152="Detectivo",T152="Automático"),"40%",IF(AND(S152="Detectivo",T152="Manual"),"30%",IF(AND(S152="Correctivo",T152="Automático"),"35%",IF(AND(S152="Correctivo",T152="Manual"),"25%",""))))))</f>
        <v>30%</v>
      </c>
      <c r="V152" s="170" t="s">
        <v>119</v>
      </c>
      <c r="W152" s="170" t="s">
        <v>115</v>
      </c>
      <c r="X152" s="170" t="s">
        <v>134</v>
      </c>
      <c r="Y152" s="172">
        <f>IFERROR(IF(R152="Probabilidad",(J152-(+J152*U152)),IF(R152="Impacto",J152,"")),"")</f>
        <v>0.42</v>
      </c>
      <c r="Z152" s="173" t="str">
        <f>IFERROR(IF(Y152="","",IF(Y152&lt;=0.2,"Rara vez",IF(Y152&lt;=0.4,"Improbable",IF(Y152&lt;=0.6,"Posible",IF(Y152&lt;=0.8,"Probable","Casi Seguro"))))),"")</f>
        <v>Posible</v>
      </c>
      <c r="AA152" s="171">
        <f>+Y152</f>
        <v>0.42</v>
      </c>
      <c r="AB152" s="173" t="str">
        <f>IFERROR(IF(AC152="","",IF(AC152&lt;=0.6,"Moderado",IF(AC152&lt;=0.8,"Mayor","Catastrófico"))),"")</f>
        <v>Catastrófico</v>
      </c>
      <c r="AC152" s="171">
        <f>IFERROR(IF(R152="Impacto",(N152-(+N152*U152)),IF(R152="Probabilidad",N152,"")),"")</f>
        <v>1</v>
      </c>
      <c r="AD152" s="174" t="str">
        <f>IFERROR(IF(OR(AND(Z152="Rara vez",AB152="Leve"),AND(Z152="Rara vez",AB152="Menor"),AND(Z152="Improbable",AB152="Leve")),"Bajo",IF(OR(AND(Z152="Rara vez",AB152="Moderado"),AND(Z152="Improbable",AB152="Menor"),AND(Z152="Improbable",AB152="Moderado"),AND(Z152="Posible",AB152="Leve"),AND(Z152="Posible",AB152="Menor"),AND(Z152="Posible",AB152="Moderado"),AND(Z152="Probable",AB152="Leve"),AND(Z152="Probable",AB152="Menor")),"Moderado",IF(OR(AND(Z152="Rara vez",AB152="Mayor"),AND(Z152="Improbable",AB152="Mayor"),AND(Z152="Posible",AB152="Mayor"),AND(Z152="Probable",AB152="Moderado"),AND(Z152="Probable",AB152="Mayor"),AND(Z152="Casi Seguro",AB152="Leve"),AND(Z152="Casi Seguro",AB152="Menor"),AND(Z152="Casi Seguro",AB152="Moderado"),AND(Z152="Casi Seguro",AB152="Mayor")),"Alto",IF(OR(AND(Z152="Rara vez",AB152="Catastrófico"),AND(Z152="Improbable",AB152="Catastrófico"),AND(Z152="Posible",AB152="Catastrófico"),AND(Z152="Probable",AB152="Catastrófico"),AND(Z152="Casi Seguro",AB152="Catastrófico")),"Extremo","")))),"")</f>
        <v>Extremo</v>
      </c>
      <c r="AE152" s="170"/>
      <c r="AF152" s="123"/>
      <c r="AG152" s="123"/>
      <c r="AH152" s="175"/>
      <c r="AI152" s="176"/>
      <c r="AJ152" s="177"/>
      <c r="AK152" s="522"/>
      <c r="AL152" s="534"/>
      <c r="AM152" s="534"/>
      <c r="AN152" s="534"/>
      <c r="AO152" s="534"/>
      <c r="AP152" s="534"/>
      <c r="AQ152" s="534"/>
      <c r="AR152" s="534"/>
      <c r="AS152" s="178"/>
      <c r="AT152" s="178"/>
      <c r="AU152" s="178"/>
      <c r="AV152" s="178"/>
      <c r="AW152" s="178"/>
      <c r="AX152" s="178"/>
      <c r="AY152" s="178"/>
      <c r="AZ152" s="178"/>
      <c r="BA152" s="178"/>
      <c r="BB152" s="178"/>
      <c r="BC152" s="178"/>
      <c r="BD152" s="178"/>
      <c r="BE152" s="178"/>
      <c r="BF152" s="178"/>
      <c r="BG152" s="178"/>
      <c r="BH152" s="178"/>
      <c r="BI152" s="178"/>
      <c r="BJ152" s="178"/>
    </row>
    <row r="153" spans="2:62" ht="127.5" x14ac:dyDescent="0.2">
      <c r="B153" s="314"/>
      <c r="C153" s="316"/>
      <c r="D153" s="317"/>
      <c r="E153" s="313"/>
      <c r="F153" s="313"/>
      <c r="G153" s="304"/>
      <c r="H153" s="305"/>
      <c r="I153" s="306"/>
      <c r="J153" s="307"/>
      <c r="K153" s="308"/>
      <c r="L153" s="307">
        <f>IF(NOT(ISERROR(MATCH(K153,_xlfn.ANCHORARRAY(G395),0))),J397&amp;"Por favor no seleccionar los criterios de impacto",K153)</f>
        <v>0</v>
      </c>
      <c r="M153" s="306"/>
      <c r="N153" s="307"/>
      <c r="O153" s="309"/>
      <c r="P153" s="168">
        <v>2</v>
      </c>
      <c r="Q153" s="129" t="s">
        <v>356</v>
      </c>
      <c r="R153" s="169" t="str">
        <f>IF(OR(S153="Preventivo",S153="Detectivo"),"Probabilidad",IF(S153="Correctivo","Impacto",""))</f>
        <v>Probabilidad</v>
      </c>
      <c r="S153" s="170" t="s">
        <v>133</v>
      </c>
      <c r="T153" s="170" t="s">
        <v>113</v>
      </c>
      <c r="U153" s="171" t="str">
        <f t="shared" ref="U153" si="245">IF(AND(S153="Preventivo",T153="Automático"),"50%",IF(AND(S153="Preventivo",T153="Manual"),"40%",IF(AND(S153="Detectivo",T153="Automático"),"40%",IF(AND(S153="Detectivo",T153="Manual"),"30%",IF(AND(S153="Correctivo",T153="Automático"),"35%",IF(AND(S153="Correctivo",T153="Manual"),"25%",""))))))</f>
        <v>30%</v>
      </c>
      <c r="V153" s="170" t="s">
        <v>114</v>
      </c>
      <c r="W153" s="170" t="s">
        <v>115</v>
      </c>
      <c r="X153" s="170" t="s">
        <v>134</v>
      </c>
      <c r="Y153" s="172">
        <f>IFERROR(IF(AND(R152="Probabilidad",R153="Probabilidad"),(AA152-(+AA152*U153)),IF(R153="Probabilidad",(J152-(+J152*U153)),IF(R153="Impacto",AA152,""))),"")</f>
        <v>0.29399999999999998</v>
      </c>
      <c r="Z153" s="173" t="str">
        <f t="shared" ref="Z153" si="246">IFERROR(IF(Y153="","",IF(Y153&lt;=0.2,"Rara vez",IF(Y153&lt;=0.4,"Improbable",IF(Y153&lt;=0.6,"Posible",IF(Y153&lt;=0.8,"Probable","Casi Seguro"))))),"")</f>
        <v>Improbable</v>
      </c>
      <c r="AA153" s="171">
        <f t="shared" ref="AA153" si="247">+Y153</f>
        <v>0.29399999999999998</v>
      </c>
      <c r="AB153" s="173" t="str">
        <f t="shared" ref="AB153" si="248">IFERROR(IF(AC153="","",IF(AC153&lt;=0.6,"Moderado",IF(AC153&lt;=0.8,"Mayor","Catastrófico"))),"")</f>
        <v>Catastrófico</v>
      </c>
      <c r="AC153" s="171">
        <f>IFERROR(IF(AND(R152="Impacto",R153="Impacto"),(AC152-(+AC152*U153)),IF(R153="Impacto",(N152-(+N152*U153)),IF(R153="Probabilidad",AC152,""))),"")</f>
        <v>1</v>
      </c>
      <c r="AD153" s="174" t="str">
        <f>IFERROR(IF(OR(AND(Z153="Rara vez",AB153="Leve"),AND(Z153="Rara vez",AB153="Menor"),AND(Z153="Improbable",AB153="Leve")),"Bajo",IF(OR(AND(Z153="Rara vez",AB153="Moderado"),AND(Z153="Improbable",AB153="Menor"),AND(Z153="Improbable",AB153="Moderado"),AND(Z153="Posible",AB153="Leve"),AND(Z153="Posible",AB153="Menor"),AND(Z153="Posible",AB153="Moderado"),AND(Z153="Probable",AB153="Leve"),AND(Z153="Probable",AB153="Menor")),"Moderado",IF(OR(AND(Z153="Rara vez",AB153="Mayor"),AND(Z153="Improbable",AB153="Mayor"),AND(Z153="Posible",AB153="Mayor"),AND(Z153="Probable",AB153="Moderado"),AND(Z153="Probable",AB153="Mayor"),AND(Z153="Casi Seguro",AB153="Leve"),AND(Z153="Casi Seguro",AB153="Menor"),AND(Z153="Casi Seguro",AB153="Moderado"),AND(Z153="Casi Seguro",AB153="Mayor")),"Alto",IF(OR(AND(Z153="Rara vez",AB153="Catastrófico"),AND(Z153="Improbable",AB153="Catastrófico"),AND(Z153="Posible",AB153="Catastrófico"),AND(Z153="Probable",AB153="Catastrófico"),AND(Z153="Casi Seguro",AB153="Catastrófico")),"Extremo","")))),"")</f>
        <v>Extremo</v>
      </c>
      <c r="AE153" s="170" t="s">
        <v>120</v>
      </c>
      <c r="AF153" s="136" t="s">
        <v>357</v>
      </c>
      <c r="AG153" s="203" t="s">
        <v>333</v>
      </c>
      <c r="AH153" s="202">
        <v>46022</v>
      </c>
      <c r="AI153" s="203"/>
      <c r="AJ153" s="136"/>
      <c r="AK153" s="525" t="s">
        <v>123</v>
      </c>
      <c r="AL153" s="535"/>
      <c r="AM153" s="535"/>
      <c r="AN153" s="535"/>
      <c r="AO153" s="535"/>
      <c r="AP153" s="535"/>
      <c r="AQ153" s="535"/>
      <c r="AR153" s="535"/>
      <c r="AS153" s="158"/>
      <c r="AT153" s="158"/>
      <c r="AU153" s="158"/>
      <c r="AV153" s="158"/>
      <c r="AW153" s="158"/>
      <c r="AX153" s="158"/>
      <c r="AY153" s="158"/>
      <c r="AZ153" s="158"/>
      <c r="BA153" s="158"/>
      <c r="BB153" s="158"/>
      <c r="BC153" s="158"/>
      <c r="BD153" s="158"/>
      <c r="BE153" s="158"/>
      <c r="BF153" s="158"/>
      <c r="BG153" s="158"/>
      <c r="BH153" s="158"/>
      <c r="BI153" s="158"/>
      <c r="BJ153" s="158"/>
    </row>
    <row r="154" spans="2:62" x14ac:dyDescent="0.2">
      <c r="B154" s="314"/>
      <c r="C154" s="316"/>
      <c r="D154" s="317"/>
      <c r="E154" s="313"/>
      <c r="F154" s="313"/>
      <c r="G154" s="304"/>
      <c r="H154" s="305"/>
      <c r="I154" s="306"/>
      <c r="J154" s="307"/>
      <c r="K154" s="308"/>
      <c r="L154" s="307">
        <f>IF(NOT(ISERROR(MATCH(K154,_xlfn.ANCHORARRAY(G396),0))),J398&amp;"Por favor no seleccionar los criterios de impacto",K154)</f>
        <v>0</v>
      </c>
      <c r="M154" s="306"/>
      <c r="N154" s="307"/>
      <c r="O154" s="309"/>
      <c r="P154" s="168">
        <v>3</v>
      </c>
      <c r="Q154" s="129"/>
      <c r="R154" s="169"/>
      <c r="S154" s="170"/>
      <c r="T154" s="170"/>
      <c r="U154" s="171"/>
      <c r="V154" s="170"/>
      <c r="W154" s="170"/>
      <c r="X154" s="170"/>
      <c r="Y154" s="172"/>
      <c r="Z154" s="173"/>
      <c r="AA154" s="171"/>
      <c r="AB154" s="173"/>
      <c r="AC154" s="171"/>
      <c r="AD154" s="174"/>
      <c r="AE154" s="196"/>
      <c r="AF154" s="136"/>
      <c r="AG154" s="137"/>
      <c r="AH154" s="131"/>
      <c r="AI154" s="187"/>
      <c r="AJ154" s="188"/>
      <c r="AK154" s="523"/>
      <c r="AL154" s="535"/>
      <c r="AM154" s="535"/>
      <c r="AN154" s="535"/>
      <c r="AO154" s="535"/>
      <c r="AP154" s="535"/>
      <c r="AQ154" s="535"/>
      <c r="AR154" s="535"/>
      <c r="AS154" s="158"/>
      <c r="AT154" s="158"/>
      <c r="AU154" s="158"/>
      <c r="AV154" s="158"/>
      <c r="AW154" s="158"/>
      <c r="AX154" s="158"/>
      <c r="AY154" s="158"/>
      <c r="AZ154" s="158"/>
      <c r="BA154" s="158"/>
      <c r="BB154" s="158"/>
      <c r="BC154" s="158"/>
      <c r="BD154" s="158"/>
      <c r="BE154" s="158"/>
      <c r="BF154" s="158"/>
      <c r="BG154" s="158"/>
      <c r="BH154" s="158"/>
      <c r="BI154" s="158"/>
      <c r="BJ154" s="158"/>
    </row>
    <row r="155" spans="2:62" x14ac:dyDescent="0.2">
      <c r="B155" s="314"/>
      <c r="C155" s="316"/>
      <c r="D155" s="317"/>
      <c r="E155" s="313"/>
      <c r="F155" s="313"/>
      <c r="G155" s="304"/>
      <c r="H155" s="305"/>
      <c r="I155" s="306"/>
      <c r="J155" s="307"/>
      <c r="K155" s="308"/>
      <c r="L155" s="307">
        <f>IF(NOT(ISERROR(MATCH(K155,_xlfn.ANCHORARRAY(G397),0))),J399&amp;"Por favor no seleccionar los criterios de impacto",K155)</f>
        <v>0</v>
      </c>
      <c r="M155" s="306"/>
      <c r="N155" s="307"/>
      <c r="O155" s="309"/>
      <c r="P155" s="168">
        <v>4</v>
      </c>
      <c r="Q155" s="129"/>
      <c r="R155" s="169"/>
      <c r="S155" s="182"/>
      <c r="T155" s="170"/>
      <c r="U155" s="171"/>
      <c r="V155" s="170"/>
      <c r="W155" s="170"/>
      <c r="X155" s="170"/>
      <c r="Y155" s="172"/>
      <c r="Z155" s="173"/>
      <c r="AA155" s="171"/>
      <c r="AB155" s="173"/>
      <c r="AC155" s="171"/>
      <c r="AD155" s="174"/>
      <c r="AE155" s="170"/>
      <c r="AF155" s="136"/>
      <c r="AG155" s="203"/>
      <c r="AH155" s="202"/>
      <c r="AI155" s="136"/>
      <c r="AJ155" s="200"/>
      <c r="AK155" s="525"/>
      <c r="AL155" s="535"/>
      <c r="AM155" s="535"/>
      <c r="AN155" s="535"/>
      <c r="AO155" s="535"/>
      <c r="AP155" s="535"/>
      <c r="AQ155" s="535"/>
      <c r="AR155" s="535"/>
      <c r="AS155" s="158"/>
      <c r="AT155" s="158"/>
      <c r="AU155" s="158"/>
      <c r="AV155" s="158"/>
      <c r="AW155" s="158"/>
      <c r="AX155" s="158"/>
      <c r="AY155" s="158"/>
      <c r="AZ155" s="158"/>
      <c r="BA155" s="158"/>
      <c r="BB155" s="158"/>
      <c r="BC155" s="158"/>
      <c r="BD155" s="158"/>
      <c r="BE155" s="158"/>
      <c r="BF155" s="158"/>
      <c r="BG155" s="158"/>
      <c r="BH155" s="158"/>
      <c r="BI155" s="158"/>
      <c r="BJ155" s="158"/>
    </row>
    <row r="156" spans="2:62" x14ac:dyDescent="0.2">
      <c r="B156" s="314"/>
      <c r="C156" s="316"/>
      <c r="D156" s="317"/>
      <c r="E156" s="313"/>
      <c r="F156" s="313"/>
      <c r="G156" s="304"/>
      <c r="H156" s="305"/>
      <c r="I156" s="306"/>
      <c r="J156" s="307"/>
      <c r="K156" s="308"/>
      <c r="L156" s="307">
        <f>IF(NOT(ISERROR(MATCH(K156,_xlfn.ANCHORARRAY(G398),0))),J400&amp;"Por favor no seleccionar los criterios de impacto",K156)</f>
        <v>0</v>
      </c>
      <c r="M156" s="306"/>
      <c r="N156" s="307"/>
      <c r="O156" s="309"/>
      <c r="P156" s="168">
        <v>5</v>
      </c>
      <c r="Q156" s="126"/>
      <c r="R156" s="169"/>
      <c r="S156" s="170"/>
      <c r="T156" s="170"/>
      <c r="U156" s="171"/>
      <c r="V156" s="170"/>
      <c r="W156" s="170"/>
      <c r="X156" s="170"/>
      <c r="Y156" s="172"/>
      <c r="Z156" s="173"/>
      <c r="AA156" s="171"/>
      <c r="AB156" s="173"/>
      <c r="AC156" s="171"/>
      <c r="AD156" s="174"/>
      <c r="AE156" s="179"/>
      <c r="AF156" s="136"/>
      <c r="AG156" s="203"/>
      <c r="AH156" s="202"/>
      <c r="AI156" s="203"/>
      <c r="AJ156" s="136"/>
      <c r="AK156" s="525"/>
      <c r="AL156" s="535"/>
      <c r="AM156" s="535"/>
      <c r="AN156" s="535"/>
      <c r="AO156" s="535"/>
      <c r="AP156" s="535"/>
      <c r="AQ156" s="535"/>
      <c r="AR156" s="535"/>
      <c r="AS156" s="158"/>
      <c r="AT156" s="158"/>
      <c r="AU156" s="158"/>
      <c r="AV156" s="158"/>
      <c r="AW156" s="158"/>
      <c r="AX156" s="158"/>
      <c r="AY156" s="158"/>
      <c r="AZ156" s="158"/>
      <c r="BA156" s="158"/>
      <c r="BB156" s="158"/>
      <c r="BC156" s="158"/>
      <c r="BD156" s="158"/>
      <c r="BE156" s="158"/>
      <c r="BF156" s="158"/>
      <c r="BG156" s="158"/>
      <c r="BH156" s="158"/>
      <c r="BI156" s="158"/>
      <c r="BJ156" s="158"/>
    </row>
    <row r="157" spans="2:62" ht="14.25" customHeight="1" x14ac:dyDescent="0.2">
      <c r="B157" s="314"/>
      <c r="C157" s="320"/>
      <c r="D157" s="317"/>
      <c r="E157" s="313"/>
      <c r="F157" s="313"/>
      <c r="G157" s="304"/>
      <c r="H157" s="305"/>
      <c r="I157" s="306"/>
      <c r="J157" s="307"/>
      <c r="K157" s="308"/>
      <c r="L157" s="307">
        <f>IF(NOT(ISERROR(MATCH(K157,_xlfn.ANCHORARRAY(G399),0))),J401&amp;"Por favor no seleccionar los criterios de impacto",K157)</f>
        <v>0</v>
      </c>
      <c r="M157" s="306"/>
      <c r="N157" s="307"/>
      <c r="O157" s="309"/>
      <c r="P157" s="168">
        <v>6</v>
      </c>
      <c r="Q157" s="129"/>
      <c r="R157" s="169"/>
      <c r="S157" s="170"/>
      <c r="T157" s="170"/>
      <c r="U157" s="171"/>
      <c r="V157" s="170"/>
      <c r="W157" s="170"/>
      <c r="X157" s="170"/>
      <c r="Y157" s="172"/>
      <c r="Z157" s="173"/>
      <c r="AA157" s="171"/>
      <c r="AB157" s="173"/>
      <c r="AC157" s="171"/>
      <c r="AD157" s="174"/>
      <c r="AE157" s="170"/>
      <c r="AF157" s="136"/>
      <c r="AG157" s="136"/>
      <c r="AH157" s="131"/>
      <c r="AI157" s="131"/>
      <c r="AJ157" s="177"/>
      <c r="AK157" s="523"/>
      <c r="AL157" s="535"/>
      <c r="AM157" s="535"/>
      <c r="AN157" s="535"/>
      <c r="AO157" s="535"/>
      <c r="AP157" s="535"/>
      <c r="AQ157" s="535"/>
      <c r="AR157" s="535"/>
      <c r="AS157" s="158"/>
      <c r="AT157" s="158"/>
      <c r="AU157" s="158"/>
      <c r="AV157" s="158"/>
      <c r="AW157" s="158"/>
      <c r="AX157" s="158"/>
      <c r="AY157" s="158"/>
      <c r="AZ157" s="158"/>
      <c r="BA157" s="158"/>
      <c r="BB157" s="158"/>
      <c r="BC157" s="158"/>
      <c r="BD157" s="158"/>
      <c r="BE157" s="158"/>
      <c r="BF157" s="158"/>
      <c r="BG157" s="158"/>
      <c r="BH157" s="158"/>
      <c r="BI157" s="158"/>
      <c r="BJ157" s="158"/>
    </row>
    <row r="158" spans="2:62" s="163" customFormat="1" ht="129" customHeight="1" x14ac:dyDescent="0.25">
      <c r="B158" s="314" t="s">
        <v>358</v>
      </c>
      <c r="C158" s="315" t="s">
        <v>359</v>
      </c>
      <c r="D158" s="317" t="s">
        <v>360</v>
      </c>
      <c r="E158" s="313" t="s">
        <v>127</v>
      </c>
      <c r="F158" s="313" t="s">
        <v>361</v>
      </c>
      <c r="G158" s="304" t="s">
        <v>362</v>
      </c>
      <c r="H158" s="305" t="s">
        <v>109</v>
      </c>
      <c r="I158" s="306" t="str">
        <f>IF(H158&lt;=0,"",IF(H158="No se ha presentado en los últimos 5 años","Rara vez",IF(H158="Al menos 1 vez en los últimos 5 años","Improbable",IF(H158="Al menos 1 vez en los últimos 2 años","Posible",IF(H158="Al menos 1 vez en el último año","Probable",IF(H158="Más de 1 vez al año","Casi Seguro"))))))</f>
        <v>Rara vez</v>
      </c>
      <c r="J158" s="307">
        <f>IF(I158="","",IF(I158="Rara vez",0.2,IF(I158="Improbable",0.4,IF(I158="Posible",0.6,IF(I158="Probable",0.8,IF(I158="Casi Seguro",1,))))))</f>
        <v>0.2</v>
      </c>
      <c r="K158" s="308" t="s">
        <v>131</v>
      </c>
      <c r="L158" s="307" t="str">
        <f>IF(NOT(ISERROR(MATCH(K158,'Tabla Impacto'!$B$220:$B$222,0))),'Tabla Impacto'!$F$222&amp;"Por favor no seleccionar los criterios de impacto(Criterios para calificar el impacto)",K158)</f>
        <v xml:space="preserve">Responder afirmativamente de DOCE a DIECINUEVE </v>
      </c>
      <c r="M158" s="306" t="str">
        <f>IF(OR(L158='Tabla Impacto'!$C$5),"Moderado",IF(OR(L158='Tabla Impacto'!$C$6),"Mayor",IF(OR(L158='Tabla Impacto'!$C$7),"Catastrófico","")))</f>
        <v>Catastrófico</v>
      </c>
      <c r="N158" s="307">
        <f>IF(M158="","",IF(M158="Leve",0.2,IF(M158="Menor",0.4,IF(M158="Moderado",0.6,IF(M158="Mayor",0.8,IF(M158="Catastrófico",1,))))))</f>
        <v>1</v>
      </c>
      <c r="O158" s="309" t="str">
        <f>IF(OR(AND(I158="Rara vez",M158="Leve"),AND(I158="Rara vez",M158="Menor"),AND(I158="Improbable",M158="Leve")),"Bajo",IF(OR(AND(I158="Rara vez",M158="Moderado"),AND(I158="Improbable",M158="Menor"),AND(I158="Improbable",M158="Moderado"),AND(I158="Posible",M158="Leve"),AND(I158="Posible",M158="Menor"),AND(I158="Posible",M158="Moderado"),AND(I158="Probable",M158="Leve"),AND(I158="Probable",M158="Menor")),"Moderado",IF(OR(AND(I158="Rara vez",M158="Mayor"),AND(I158="Improbable",M158="Mayor"),AND(I158="Posible",M158="Mayor"),AND(I158="Probable",M158="Moderado"),AND(I158="Probable",M158="Mayor"),AND(I158="Casi Seguro",M158="Leve"),AND(I158="Casi Seguro",M158="Menor"),AND(I158="Casi Seguro",M158="Moderado"),AND(I158="Casi Seguro",M158="Mayor")),"Alto",IF(OR(AND(I158="Rara vez",M158="Catastrófico"),AND(I158="Improbable",M158="Catastrófico"),AND(I158="Posible",M158="Catastrófico"),AND(I158="Probable",M158="Catastrófico"),AND(I158="Casi Seguro",M158="Catastrófico")),"Extremo",""))))</f>
        <v>Extremo</v>
      </c>
      <c r="P158" s="168">
        <v>1</v>
      </c>
      <c r="Q158" s="139" t="s">
        <v>363</v>
      </c>
      <c r="R158" s="169" t="str">
        <f>IF(OR(S158="Preventivo",S158="Detectivo"),"Probabilidad",IF(S158="Correctivo","Impacto",""))</f>
        <v>Probabilidad</v>
      </c>
      <c r="S158" s="170" t="s">
        <v>112</v>
      </c>
      <c r="T158" s="170" t="s">
        <v>113</v>
      </c>
      <c r="U158" s="171" t="str">
        <f>IF(AND(S158="Preventivo",T158="Automático"),"50%",IF(AND(S158="Preventivo",T158="Manual"),"40%",IF(AND(S158="Detectivo",T158="Automático"),"40%",IF(AND(S158="Detectivo",T158="Manual"),"30%",IF(AND(S158="Correctivo",T158="Automático"),"35%",IF(AND(S158="Correctivo",T158="Manual"),"25%",""))))))</f>
        <v>40%</v>
      </c>
      <c r="V158" s="170" t="s">
        <v>119</v>
      </c>
      <c r="W158" s="170" t="s">
        <v>115</v>
      </c>
      <c r="X158" s="170" t="s">
        <v>134</v>
      </c>
      <c r="Y158" s="172">
        <f>IFERROR(IF(R158="Probabilidad",(J158-(+J158*U158)),IF(R158="Impacto",J158,"")),"")</f>
        <v>0.12</v>
      </c>
      <c r="Z158" s="173" t="str">
        <f>IFERROR(IF(Y158="","",IF(Y158&lt;=0.2,"Rara vez",IF(Y158&lt;=0.4,"Improbable",IF(Y158&lt;=0.6,"Posible",IF(Y158&lt;=0.8,"Probable","Casi Seguro"))))),"")</f>
        <v>Rara vez</v>
      </c>
      <c r="AA158" s="171">
        <f>+Y158</f>
        <v>0.12</v>
      </c>
      <c r="AB158" s="173" t="str">
        <f>IFERROR(IF(AC158="","",IF(AC158&lt;=0.6,"Moderado",IF(AC158&lt;=0.8,"Mayor","Catastrófico"))),"")</f>
        <v>Catastrófico</v>
      </c>
      <c r="AC158" s="171">
        <f>IFERROR(IF(R158="Impacto",(N158-(+N158*U158)),IF(R158="Probabilidad",N158,"")),"")</f>
        <v>1</v>
      </c>
      <c r="AD158" s="174" t="str">
        <f>IFERROR(IF(OR(AND(Z158="Rara vez",AB158="Leve"),AND(Z158="Rara vez",AB158="Menor"),AND(Z158="Improbable",AB158="Leve")),"Bajo",IF(OR(AND(Z158="Rara vez",AB158="Moderado"),AND(Z158="Improbable",AB158="Menor"),AND(Z158="Improbable",AB158="Moderado"),AND(Z158="Posible",AB158="Leve"),AND(Z158="Posible",AB158="Menor"),AND(Z158="Posible",AB158="Moderado"),AND(Z158="Probable",AB158="Leve"),AND(Z158="Probable",AB158="Menor")),"Moderado",IF(OR(AND(Z158="Rara vez",AB158="Mayor"),AND(Z158="Improbable",AB158="Mayor"),AND(Z158="Posible",AB158="Mayor"),AND(Z158="Probable",AB158="Moderado"),AND(Z158="Probable",AB158="Mayor"),AND(Z158="Casi Seguro",AB158="Leve"),AND(Z158="Casi Seguro",AB158="Menor"),AND(Z158="Casi Seguro",AB158="Moderado"),AND(Z158="Casi Seguro",AB158="Mayor")),"Alto",IF(OR(AND(Z158="Rara vez",AB158="Catastrófico"),AND(Z158="Improbable",AB158="Catastrófico"),AND(Z158="Posible",AB158="Catastrófico"),AND(Z158="Probable",AB158="Catastrófico"),AND(Z158="Casi Seguro",AB158="Catastrófico")),"Extremo","")))),"")</f>
        <v>Extremo</v>
      </c>
      <c r="AE158" s="170"/>
      <c r="AF158" s="123"/>
      <c r="AG158" s="123"/>
      <c r="AH158" s="175"/>
      <c r="AI158" s="176"/>
      <c r="AJ158" s="177"/>
      <c r="AK158" s="522"/>
      <c r="AL158" s="534"/>
      <c r="AM158" s="534"/>
      <c r="AN158" s="534"/>
      <c r="AO158" s="534"/>
      <c r="AP158" s="534"/>
      <c r="AQ158" s="534"/>
      <c r="AR158" s="534"/>
      <c r="AS158" s="178"/>
      <c r="AT158" s="178"/>
      <c r="AU158" s="178"/>
      <c r="AV158" s="178"/>
      <c r="AW158" s="178"/>
      <c r="AX158" s="178"/>
      <c r="AY158" s="178"/>
      <c r="AZ158" s="178"/>
      <c r="BA158" s="178"/>
      <c r="BB158" s="178"/>
      <c r="BC158" s="178"/>
      <c r="BD158" s="178"/>
      <c r="BE158" s="178"/>
      <c r="BF158" s="178"/>
      <c r="BG158" s="178"/>
      <c r="BH158" s="178"/>
      <c r="BI158" s="178"/>
      <c r="BJ158" s="178"/>
    </row>
    <row r="159" spans="2:62" ht="102" x14ac:dyDescent="0.2">
      <c r="B159" s="314"/>
      <c r="C159" s="316"/>
      <c r="D159" s="317"/>
      <c r="E159" s="313"/>
      <c r="F159" s="313"/>
      <c r="G159" s="304"/>
      <c r="H159" s="305"/>
      <c r="I159" s="306"/>
      <c r="J159" s="307"/>
      <c r="K159" s="308"/>
      <c r="L159" s="307">
        <f>IF(NOT(ISERROR(MATCH(K159,_xlfn.ANCHORARRAY(G385),0))),J387&amp;"Por favor no seleccionar los criterios de impacto",K159)</f>
        <v>0</v>
      </c>
      <c r="M159" s="306"/>
      <c r="N159" s="307"/>
      <c r="O159" s="309"/>
      <c r="P159" s="168">
        <v>2</v>
      </c>
      <c r="Q159" s="134" t="s">
        <v>364</v>
      </c>
      <c r="R159" s="169" t="str">
        <f>IF(OR(S159="Preventivo",S159="Detectivo"),"Probabilidad",IF(S159="Correctivo","Impacto",""))</f>
        <v>Probabilidad</v>
      </c>
      <c r="S159" s="170" t="s">
        <v>112</v>
      </c>
      <c r="T159" s="170" t="s">
        <v>113</v>
      </c>
      <c r="U159" s="171" t="str">
        <f t="shared" ref="U159:U163" si="249">IF(AND(S159="Preventivo",T159="Automático"),"50%",IF(AND(S159="Preventivo",T159="Manual"),"40%",IF(AND(S159="Detectivo",T159="Automático"),"40%",IF(AND(S159="Detectivo",T159="Manual"),"30%",IF(AND(S159="Correctivo",T159="Automático"),"35%",IF(AND(S159="Correctivo",T159="Manual"),"25%",""))))))</f>
        <v>40%</v>
      </c>
      <c r="V159" s="170" t="s">
        <v>119</v>
      </c>
      <c r="W159" s="170" t="s">
        <v>115</v>
      </c>
      <c r="X159" s="170" t="s">
        <v>134</v>
      </c>
      <c r="Y159" s="172">
        <f>IFERROR(IF(AND(R158="Probabilidad",R159="Probabilidad"),(AA158-(+AA158*U159)),IF(R159="Probabilidad",(J158-(+J158*U159)),IF(R159="Impacto",AA158,""))),"")</f>
        <v>7.1999999999999995E-2</v>
      </c>
      <c r="Z159" s="173" t="str">
        <f t="shared" ref="Z159:Z163" si="250">IFERROR(IF(Y159="","",IF(Y159&lt;=0.2,"Rara vez",IF(Y159&lt;=0.4,"Improbable",IF(Y159&lt;=0.6,"Posible",IF(Y159&lt;=0.8,"Probable","Casi Seguro"))))),"")</f>
        <v>Rara vez</v>
      </c>
      <c r="AA159" s="171">
        <f t="shared" ref="AA159:AA163" si="251">+Y159</f>
        <v>7.1999999999999995E-2</v>
      </c>
      <c r="AB159" s="173" t="str">
        <f t="shared" ref="AB159:AB163" si="252">IFERROR(IF(AC159="","",IF(AC159&lt;=0.6,"Moderado",IF(AC159&lt;=0.8,"Mayor","Catastrófico"))),"")</f>
        <v>Catastrófico</v>
      </c>
      <c r="AC159" s="171">
        <f>IFERROR(IF(AND(R158="Impacto",R159="Impacto"),(AC158-(+AC158*U159)),IF(R159="Impacto",(N158-(+N158*U159)),IF(R159="Probabilidad",AC158,""))),"")</f>
        <v>1</v>
      </c>
      <c r="AD159" s="174" t="str">
        <f>IFERROR(IF(OR(AND(Z159="Rara vez",AB159="Leve"),AND(Z159="Rara vez",AB159="Menor"),AND(Z159="Improbable",AB159="Leve")),"Bajo",IF(OR(AND(Z159="Rara vez",AB159="Moderado"),AND(Z159="Improbable",AB159="Menor"),AND(Z159="Improbable",AB159="Moderado"),AND(Z159="Posible",AB159="Leve"),AND(Z159="Posible",AB159="Menor"),AND(Z159="Posible",AB159="Moderado"),AND(Z159="Probable",AB159="Leve"),AND(Z159="Probable",AB159="Menor")),"Moderado",IF(OR(AND(Z159="Rara vez",AB159="Mayor"),AND(Z159="Improbable",AB159="Mayor"),AND(Z159="Posible",AB159="Mayor"),AND(Z159="Probable",AB159="Moderado"),AND(Z159="Probable",AB159="Mayor"),AND(Z159="Casi Seguro",AB159="Leve"),AND(Z159="Casi Seguro",AB159="Menor"),AND(Z159="Casi Seguro",AB159="Moderado"),AND(Z159="Casi Seguro",AB159="Mayor")),"Alto",IF(OR(AND(Z159="Rara vez",AB159="Catastrófico"),AND(Z159="Improbable",AB159="Catastrófico"),AND(Z159="Posible",AB159="Catastrófico"),AND(Z159="Probable",AB159="Catastrófico"),AND(Z159="Casi Seguro",AB159="Catastrófico")),"Extremo","")))),"")</f>
        <v>Extremo</v>
      </c>
      <c r="AE159" s="170"/>
      <c r="AF159" s="132"/>
      <c r="AG159" s="194"/>
      <c r="AH159" s="195"/>
      <c r="AI159" s="176"/>
      <c r="AJ159" s="181"/>
      <c r="AK159" s="522"/>
      <c r="AL159" s="535"/>
      <c r="AM159" s="535"/>
      <c r="AN159" s="535"/>
      <c r="AO159" s="535"/>
      <c r="AP159" s="535"/>
      <c r="AQ159" s="535"/>
      <c r="AR159" s="535"/>
      <c r="AS159" s="158"/>
      <c r="AT159" s="158"/>
      <c r="AU159" s="158"/>
      <c r="AV159" s="158"/>
      <c r="AW159" s="158"/>
      <c r="AX159" s="158"/>
      <c r="AY159" s="158"/>
      <c r="AZ159" s="158"/>
      <c r="BA159" s="158"/>
      <c r="BB159" s="158"/>
      <c r="BC159" s="158"/>
      <c r="BD159" s="158"/>
      <c r="BE159" s="158"/>
      <c r="BF159" s="158"/>
      <c r="BG159" s="158"/>
      <c r="BH159" s="158"/>
      <c r="BI159" s="158"/>
      <c r="BJ159" s="158"/>
    </row>
    <row r="160" spans="2:62" ht="76.5" x14ac:dyDescent="0.2">
      <c r="B160" s="314"/>
      <c r="C160" s="316"/>
      <c r="D160" s="317"/>
      <c r="E160" s="313"/>
      <c r="F160" s="313"/>
      <c r="G160" s="304"/>
      <c r="H160" s="305"/>
      <c r="I160" s="306"/>
      <c r="J160" s="307"/>
      <c r="K160" s="308"/>
      <c r="L160" s="307">
        <f>IF(NOT(ISERROR(MATCH(K160,_xlfn.ANCHORARRAY(G386),0))),J388&amp;"Por favor no seleccionar los criterios de impacto",K160)</f>
        <v>0</v>
      </c>
      <c r="M160" s="306"/>
      <c r="N160" s="307"/>
      <c r="O160" s="309"/>
      <c r="P160" s="168">
        <v>3</v>
      </c>
      <c r="Q160" s="129" t="s">
        <v>365</v>
      </c>
      <c r="R160" s="169" t="s">
        <v>118</v>
      </c>
      <c r="S160" s="170" t="s">
        <v>112</v>
      </c>
      <c r="T160" s="170" t="s">
        <v>113</v>
      </c>
      <c r="U160" s="171" t="str">
        <f t="shared" si="249"/>
        <v>40%</v>
      </c>
      <c r="V160" s="170" t="s">
        <v>114</v>
      </c>
      <c r="W160" s="170" t="s">
        <v>115</v>
      </c>
      <c r="X160" s="170" t="s">
        <v>134</v>
      </c>
      <c r="Y160" s="172">
        <f>IFERROR(IF(AND(R159="Probabilidad",R160="Probabilidad"),(AA159-(+AA159*U160)),IF(AND(R159="Impacto",R160="Probabilidad"),(AA158-(+AA158*U160)),IF(R160="Impacto",AA159,""))),"")</f>
        <v>4.3199999999999995E-2</v>
      </c>
      <c r="Z160" s="173" t="str">
        <f t="shared" si="250"/>
        <v>Rara vez</v>
      </c>
      <c r="AA160" s="171">
        <f t="shared" si="251"/>
        <v>4.3199999999999995E-2</v>
      </c>
      <c r="AB160" s="173" t="str">
        <f t="shared" si="252"/>
        <v>Catastrófico</v>
      </c>
      <c r="AC160" s="171">
        <f>IFERROR(IF(AND(R159="Impacto",R160="Impacto"),(AC159-(+AC159*U160)),IF(AND(R159="Probabilidad",R160="Impacto"),(AC158-(+AC158*U160)),IF(R160="Probabilidad",AC159,""))),"")</f>
        <v>1</v>
      </c>
      <c r="AD160" s="174" t="str">
        <f>IFERROR(IF(OR(AND(Z160="Rara vez",AB160="Leve"),AND(Z160="Rara vez",AB160="Menor"),AND(Z160="Improbable",AB160="Leve")),"Bajo",IF(OR(AND(Z160="Rara vez",AB160="Moderado"),AND(Z160="Improbable",AB160="Menor"),AND(Z160="Improbable",AB160="Moderado"),AND(Z160="Posible",AB160="Leve"),AND(Z160="Posible",AB160="Menor"),AND(Z160="Posible",AB160="Moderado"),AND(Z160="Probable",AB160="Leve"),AND(Z160="Probable",AB160="Menor")),"Moderado",IF(OR(AND(Z160="Rara vez",AB160="Mayor"),AND(Z160="Improbable",AB160="Mayor"),AND(Z160="Posible",AB160="Mayor"),AND(Z160="Probable",AB160="Moderado"),AND(Z160="Probable",AB160="Mayor"),AND(Z160="Casi Seguro",AB160="Leve"),AND(Z160="Casi Seguro",AB160="Menor"),AND(Z160="Casi Seguro",AB160="Moderado"),AND(Z160="Casi Seguro",AB160="Mayor")),"Alto",IF(OR(AND(Z160="Rara vez",AB160="Catastrófico"),AND(Z160="Improbable",AB160="Catastrófico"),AND(Z160="Posible",AB160="Catastrófico"),AND(Z160="Probable",AB160="Catastrófico"),AND(Z160="Casi Seguro",AB160="Catastrófico")),"Extremo","")))),"")</f>
        <v>Extremo</v>
      </c>
      <c r="AE160" s="196"/>
      <c r="AF160" s="136"/>
      <c r="AG160" s="137"/>
      <c r="AH160" s="131"/>
      <c r="AI160" s="187"/>
      <c r="AJ160" s="188"/>
      <c r="AK160" s="523"/>
      <c r="AL160" s="535"/>
      <c r="AM160" s="535"/>
      <c r="AN160" s="535"/>
      <c r="AO160" s="535"/>
      <c r="AP160" s="535"/>
      <c r="AQ160" s="535"/>
      <c r="AR160" s="535"/>
      <c r="AS160" s="158"/>
      <c r="AT160" s="158"/>
      <c r="AU160" s="158"/>
      <c r="AV160" s="158"/>
      <c r="AW160" s="158"/>
      <c r="AX160" s="158"/>
      <c r="AY160" s="158"/>
      <c r="AZ160" s="158"/>
      <c r="BA160" s="158"/>
      <c r="BB160" s="158"/>
      <c r="BC160" s="158"/>
      <c r="BD160" s="158"/>
      <c r="BE160" s="158"/>
      <c r="BF160" s="158"/>
      <c r="BG160" s="158"/>
      <c r="BH160" s="158"/>
      <c r="BI160" s="158"/>
      <c r="BJ160" s="158"/>
    </row>
    <row r="161" spans="2:62" ht="140.25" x14ac:dyDescent="0.2">
      <c r="B161" s="314"/>
      <c r="C161" s="316"/>
      <c r="D161" s="317"/>
      <c r="E161" s="313"/>
      <c r="F161" s="313"/>
      <c r="G161" s="304"/>
      <c r="H161" s="305"/>
      <c r="I161" s="306"/>
      <c r="J161" s="307"/>
      <c r="K161" s="308"/>
      <c r="L161" s="307">
        <f>IF(NOT(ISERROR(MATCH(K161,_xlfn.ANCHORARRAY(G387),0))),J389&amp;"Por favor no seleccionar los criterios de impacto",K161)</f>
        <v>0</v>
      </c>
      <c r="M161" s="306"/>
      <c r="N161" s="307"/>
      <c r="O161" s="309"/>
      <c r="P161" s="168">
        <v>4</v>
      </c>
      <c r="Q161" s="129" t="s">
        <v>366</v>
      </c>
      <c r="R161" s="169" t="s">
        <v>118</v>
      </c>
      <c r="S161" s="170" t="s">
        <v>112</v>
      </c>
      <c r="T161" s="170" t="s">
        <v>113</v>
      </c>
      <c r="U161" s="171" t="str">
        <f t="shared" si="249"/>
        <v>40%</v>
      </c>
      <c r="V161" s="170" t="s">
        <v>119</v>
      </c>
      <c r="W161" s="170" t="s">
        <v>115</v>
      </c>
      <c r="X161" s="170" t="s">
        <v>134</v>
      </c>
      <c r="Y161" s="172">
        <f t="shared" ref="Y161:Y163" si="253">IFERROR(IF(AND(R160="Probabilidad",R161="Probabilidad"),(AA160-(+AA160*U161)),IF(AND(R160="Impacto",R161="Probabilidad"),(AA159-(+AA159*U161)),IF(R161="Impacto",AA160,""))),"")</f>
        <v>2.5919999999999995E-2</v>
      </c>
      <c r="Z161" s="173" t="str">
        <f t="shared" si="250"/>
        <v>Rara vez</v>
      </c>
      <c r="AA161" s="171">
        <f t="shared" si="251"/>
        <v>2.5919999999999995E-2</v>
      </c>
      <c r="AB161" s="173" t="str">
        <f t="shared" si="252"/>
        <v>Catastrófico</v>
      </c>
      <c r="AC161" s="171">
        <f t="shared" ref="AC161:AC163" si="254">IFERROR(IF(AND(R160="Impacto",R161="Impacto"),(AC160-(+AC160*U161)),IF(AND(R160="Probabilidad",R161="Impacto"),(AC159-(+AC159*U161)),IF(R161="Probabilidad",AC160,""))),"")</f>
        <v>1</v>
      </c>
      <c r="AD161" s="174" t="str">
        <f t="shared" ref="AD161:AD163" si="255">IFERROR(IF(OR(AND(Z161="Rara vez",AB161="Leve"),AND(Z161="Rara vez",AB161="Menor"),AND(Z161="Improbable",AB161="Leve")),"Bajo",IF(OR(AND(Z161="Rara vez",AB161="Moderado"),AND(Z161="Improbable",AB161="Menor"),AND(Z161="Improbable",AB161="Moderado"),AND(Z161="Posible",AB161="Leve"),AND(Z161="Posible",AB161="Menor"),AND(Z161="Posible",AB161="Moderado"),AND(Z161="Probable",AB161="Leve"),AND(Z161="Probable",AB161="Menor")),"Moderado",IF(OR(AND(Z161="Rara vez",AB161="Mayor"),AND(Z161="Improbable",AB161="Mayor"),AND(Z161="Posible",AB161="Mayor"),AND(Z161="Probable",AB161="Moderado"),AND(Z161="Probable",AB161="Mayor"),AND(Z161="Casi Seguro",AB161="Leve"),AND(Z161="Casi Seguro",AB161="Menor"),AND(Z161="Casi Seguro",AB161="Moderado"),AND(Z161="Casi Seguro",AB161="Mayor")),"Alto",IF(OR(AND(Z161="Rara vez",AB161="Catastrófico"),AND(Z161="Improbable",AB161="Catastrófico"),AND(Z161="Posible",AB161="Catastrófico"),AND(Z161="Probable",AB161="Catastrófico"),AND(Z161="Casi Seguro",AB161="Catastrófico")),"Extremo","")))),"")</f>
        <v>Extremo</v>
      </c>
      <c r="AE161" s="170"/>
      <c r="AF161" s="136"/>
      <c r="AG161" s="203"/>
      <c r="AH161" s="202"/>
      <c r="AI161" s="136"/>
      <c r="AJ161" s="200"/>
      <c r="AK161" s="525"/>
      <c r="AL161" s="535"/>
      <c r="AM161" s="535"/>
      <c r="AN161" s="535"/>
      <c r="AO161" s="535"/>
      <c r="AP161" s="535"/>
      <c r="AQ161" s="535"/>
      <c r="AR161" s="535"/>
      <c r="AS161" s="158"/>
      <c r="AT161" s="158"/>
      <c r="AU161" s="158"/>
      <c r="AV161" s="158"/>
      <c r="AW161" s="158"/>
      <c r="AX161" s="158"/>
      <c r="AY161" s="158"/>
      <c r="AZ161" s="158"/>
      <c r="BA161" s="158"/>
      <c r="BB161" s="158"/>
      <c r="BC161" s="158"/>
      <c r="BD161" s="158"/>
      <c r="BE161" s="158"/>
      <c r="BF161" s="158"/>
      <c r="BG161" s="158"/>
      <c r="BH161" s="158"/>
      <c r="BI161" s="158"/>
      <c r="BJ161" s="158"/>
    </row>
    <row r="162" spans="2:62" ht="65.25" x14ac:dyDescent="0.2">
      <c r="B162" s="314"/>
      <c r="C162" s="316"/>
      <c r="D162" s="317"/>
      <c r="E162" s="313"/>
      <c r="F162" s="313"/>
      <c r="G162" s="304"/>
      <c r="H162" s="305"/>
      <c r="I162" s="306"/>
      <c r="J162" s="307"/>
      <c r="K162" s="308"/>
      <c r="L162" s="307">
        <f>IF(NOT(ISERROR(MATCH(K162,_xlfn.ANCHORARRAY(G388),0))),J390&amp;"Por favor no seleccionar los criterios de impacto",K162)</f>
        <v>0</v>
      </c>
      <c r="M162" s="306"/>
      <c r="N162" s="307"/>
      <c r="O162" s="309"/>
      <c r="P162" s="168">
        <v>5</v>
      </c>
      <c r="Q162" s="129" t="s">
        <v>367</v>
      </c>
      <c r="R162" s="169" t="s">
        <v>136</v>
      </c>
      <c r="S162" s="182" t="s">
        <v>137</v>
      </c>
      <c r="T162" s="170" t="s">
        <v>113</v>
      </c>
      <c r="U162" s="171" t="str">
        <f t="shared" si="249"/>
        <v>25%</v>
      </c>
      <c r="V162" s="170" t="s">
        <v>119</v>
      </c>
      <c r="W162" s="170" t="s">
        <v>115</v>
      </c>
      <c r="X162" s="170" t="s">
        <v>134</v>
      </c>
      <c r="Y162" s="172">
        <f t="shared" si="253"/>
        <v>2.5919999999999995E-2</v>
      </c>
      <c r="Z162" s="173" t="str">
        <f t="shared" si="250"/>
        <v>Rara vez</v>
      </c>
      <c r="AA162" s="171">
        <f t="shared" si="251"/>
        <v>2.5919999999999995E-2</v>
      </c>
      <c r="AB162" s="173" t="str">
        <f t="shared" si="252"/>
        <v>Mayor</v>
      </c>
      <c r="AC162" s="171">
        <f t="shared" si="254"/>
        <v>0.75</v>
      </c>
      <c r="AD162" s="174" t="str">
        <f t="shared" si="255"/>
        <v>Alto</v>
      </c>
      <c r="AE162" s="170"/>
      <c r="AF162" s="136"/>
      <c r="AG162" s="136"/>
      <c r="AH162" s="202"/>
      <c r="AI162" s="203"/>
      <c r="AJ162" s="136"/>
      <c r="AK162" s="525"/>
      <c r="AL162" s="535"/>
      <c r="AM162" s="535"/>
      <c r="AN162" s="535"/>
      <c r="AO162" s="535"/>
      <c r="AP162" s="535"/>
      <c r="AQ162" s="535"/>
      <c r="AR162" s="535"/>
      <c r="AS162" s="158"/>
      <c r="AT162" s="158"/>
      <c r="AU162" s="158"/>
      <c r="AV162" s="158"/>
      <c r="AW162" s="158"/>
      <c r="AX162" s="158"/>
      <c r="AY162" s="158"/>
      <c r="AZ162" s="158"/>
      <c r="BA162" s="158"/>
      <c r="BB162" s="158"/>
      <c r="BC162" s="158"/>
      <c r="BD162" s="158"/>
      <c r="BE162" s="158"/>
      <c r="BF162" s="158"/>
      <c r="BG162" s="158"/>
      <c r="BH162" s="158"/>
      <c r="BI162" s="158"/>
      <c r="BJ162" s="158"/>
    </row>
    <row r="163" spans="2:62" ht="114.75" x14ac:dyDescent="0.2">
      <c r="B163" s="314"/>
      <c r="C163" s="320"/>
      <c r="D163" s="317"/>
      <c r="E163" s="313"/>
      <c r="F163" s="313"/>
      <c r="G163" s="304"/>
      <c r="H163" s="305"/>
      <c r="I163" s="306"/>
      <c r="J163" s="307"/>
      <c r="K163" s="308"/>
      <c r="L163" s="307">
        <f>IF(NOT(ISERROR(MATCH(K163,_xlfn.ANCHORARRAY(G389),0))),J391&amp;"Por favor no seleccionar los criterios de impacto",K163)</f>
        <v>0</v>
      </c>
      <c r="M163" s="306"/>
      <c r="N163" s="307"/>
      <c r="O163" s="309"/>
      <c r="P163" s="168">
        <v>6</v>
      </c>
      <c r="Q163" s="245" t="s">
        <v>368</v>
      </c>
      <c r="R163" s="169" t="s">
        <v>118</v>
      </c>
      <c r="S163" s="170" t="s">
        <v>112</v>
      </c>
      <c r="T163" s="170" t="s">
        <v>113</v>
      </c>
      <c r="U163" s="171" t="str">
        <f t="shared" si="249"/>
        <v>40%</v>
      </c>
      <c r="V163" s="170" t="s">
        <v>119</v>
      </c>
      <c r="W163" s="170" t="s">
        <v>115</v>
      </c>
      <c r="X163" s="170" t="s">
        <v>134</v>
      </c>
      <c r="Y163" s="172">
        <f t="shared" si="253"/>
        <v>1.5551999999999996E-2</v>
      </c>
      <c r="Z163" s="173" t="str">
        <f t="shared" si="250"/>
        <v>Rara vez</v>
      </c>
      <c r="AA163" s="171">
        <f t="shared" si="251"/>
        <v>1.5551999999999996E-2</v>
      </c>
      <c r="AB163" s="173" t="str">
        <f t="shared" si="252"/>
        <v>Mayor</v>
      </c>
      <c r="AC163" s="171">
        <f t="shared" si="254"/>
        <v>0.75</v>
      </c>
      <c r="AD163" s="174" t="str">
        <f t="shared" si="255"/>
        <v>Alto</v>
      </c>
      <c r="AE163" s="170"/>
      <c r="AF163" s="136"/>
      <c r="AG163" s="136"/>
      <c r="AH163" s="131"/>
      <c r="AI163" s="131"/>
      <c r="AJ163" s="177"/>
      <c r="AK163" s="523"/>
      <c r="AL163" s="535"/>
      <c r="AM163" s="535"/>
      <c r="AN163" s="535"/>
      <c r="AO163" s="535"/>
      <c r="AP163" s="535"/>
      <c r="AQ163" s="535"/>
      <c r="AR163" s="535"/>
      <c r="AS163" s="158"/>
      <c r="AT163" s="158"/>
      <c r="AU163" s="158"/>
      <c r="AV163" s="158"/>
      <c r="AW163" s="158"/>
      <c r="AX163" s="158"/>
      <c r="AY163" s="158"/>
      <c r="AZ163" s="158"/>
      <c r="BA163" s="158"/>
      <c r="BB163" s="158"/>
      <c r="BC163" s="158"/>
      <c r="BD163" s="158"/>
      <c r="BE163" s="158"/>
      <c r="BF163" s="158"/>
      <c r="BG163" s="158"/>
      <c r="BH163" s="158"/>
      <c r="BI163" s="158"/>
      <c r="BJ163" s="158"/>
    </row>
    <row r="164" spans="2:62" s="163" customFormat="1" ht="129" customHeight="1" x14ac:dyDescent="0.25">
      <c r="B164" s="326" t="s">
        <v>369</v>
      </c>
      <c r="C164" s="315" t="s">
        <v>359</v>
      </c>
      <c r="D164" s="317" t="s">
        <v>370</v>
      </c>
      <c r="E164" s="313" t="s">
        <v>127</v>
      </c>
      <c r="F164" s="313" t="s">
        <v>371</v>
      </c>
      <c r="G164" s="304" t="s">
        <v>372</v>
      </c>
      <c r="H164" s="305" t="s">
        <v>109</v>
      </c>
      <c r="I164" s="306" t="str">
        <f>IF(H164&lt;=0,"",IF(H164="No se ha presentado en los últimos 5 años","Rara vez",IF(H164="Al menos 1 vez en los últimos 5 años","Improbable",IF(H164="Al menos 1 vez en los últimos 2 años","Posible",IF(H164="Al menos 1 vez en el último año","Probable",IF(H164="Más de 1 vez al año","Casi Seguro"))))))</f>
        <v>Rara vez</v>
      </c>
      <c r="J164" s="307">
        <f>IF(I164="","",IF(I164="Rara vez",0.2,IF(I164="Improbable",0.4,IF(I164="Posible",0.6,IF(I164="Probable",0.8,IF(I164="Casi Seguro",1,))))))</f>
        <v>0.2</v>
      </c>
      <c r="K164" s="308" t="s">
        <v>131</v>
      </c>
      <c r="L164" s="307" t="str">
        <f>IF(NOT(ISERROR(MATCH(K164,'Tabla Impacto'!$B$220:$B$222,0))),'Tabla Impacto'!$F$222&amp;"Por favor no seleccionar los criterios de impacto(Criterios para calificar el impacto)",K164)</f>
        <v xml:space="preserve">Responder afirmativamente de DOCE a DIECINUEVE </v>
      </c>
      <c r="M164" s="306" t="str">
        <f>IF(OR(L164='Tabla Impacto'!$C$5),"Moderado",IF(OR(L164='Tabla Impacto'!$C$6),"Mayor",IF(OR(L164='Tabla Impacto'!$C$7),"Catastrófico","")))</f>
        <v>Catastrófico</v>
      </c>
      <c r="N164" s="307">
        <f>IF(M164="","",IF(M164="Leve",0.2,IF(M164="Menor",0.4,IF(M164="Moderado",0.6,IF(M164="Mayor",0.8,IF(M164="Catastrófico",1,))))))</f>
        <v>1</v>
      </c>
      <c r="O164" s="321" t="str">
        <f>IF(OR(AND(I164="Rara vez",M164="Leve"),AND(I164="Rara vez",M164="Menor"),AND(I164="Improbable",M164="Leve")),"Bajo",IF(OR(AND(I164="Rara vez",M164="Moderado"),AND(I164="Improbable",M164="Menor"),AND(I164="Improbable",M164="Moderado"),AND(I164="Posible",M164="Leve"),AND(I164="Posible",M164="Menor"),AND(I164="Posible",M164="Moderado"),AND(I164="Probable",M164="Leve"),AND(I164="Probable",M164="Menor")),"Moderado",IF(OR(AND(I164="Rara vez",M164="Mayor"),AND(I164="Improbable",M164="Mayor"),AND(I164="Posible",M164="Mayor"),AND(I164="Probable",M164="Moderado"),AND(I164="Probable",M164="Mayor"),AND(I164="Casi Seguro",M164="Leve"),AND(I164="Casi Seguro",M164="Menor"),AND(I164="Casi Seguro",M164="Moderado"),AND(I164="Casi Seguro",M164="Mayor")),"Alto",IF(OR(AND(I164="Rara vez",M164="Catastrófico"),AND(I164="Improbable",M164="Catastrófico"),AND(I164="Posible",M164="Catastrófico"),AND(I164="Probable",M164="Catastrófico"),AND(I164="Casi Seguro",M164="Catastrófico")),"Extremo",""))))</f>
        <v>Extremo</v>
      </c>
      <c r="P164" s="223">
        <v>1</v>
      </c>
      <c r="Q164" s="246" t="s">
        <v>373</v>
      </c>
      <c r="R164" s="224" t="str">
        <f>IF(OR(S164="Preventivo",S164="Detectivo"),"Probabilidad",IF(S164="Correctivo","Impacto",""))</f>
        <v>Probabilidad</v>
      </c>
      <c r="S164" s="170" t="s">
        <v>112</v>
      </c>
      <c r="T164" s="170" t="s">
        <v>113</v>
      </c>
      <c r="U164" s="171" t="str">
        <f>IF(AND(S164="Preventivo",T164="Automático"),"50%",IF(AND(S164="Preventivo",T164="Manual"),"40%",IF(AND(S164="Detectivo",T164="Automático"),"40%",IF(AND(S164="Detectivo",T164="Manual"),"30%",IF(AND(S164="Correctivo",T164="Automático"),"35%",IF(AND(S164="Correctivo",T164="Manual"),"25%",""))))))</f>
        <v>40%</v>
      </c>
      <c r="V164" s="170" t="s">
        <v>119</v>
      </c>
      <c r="W164" s="170" t="s">
        <v>115</v>
      </c>
      <c r="X164" s="170" t="s">
        <v>134</v>
      </c>
      <c r="Y164" s="172">
        <f>IFERROR(IF(R164="Probabilidad",(J164-(+J164*U164)),IF(R164="Impacto",J164,"")),"")</f>
        <v>0.12</v>
      </c>
      <c r="Z164" s="173" t="str">
        <f>IFERROR(IF(Y164="","",IF(Y164&lt;=0.2,"Rara vez",IF(Y164&lt;=0.4,"Improbable",IF(Y164&lt;=0.6,"Posible",IF(Y164&lt;=0.8,"Probable","Casi Seguro"))))),"")</f>
        <v>Rara vez</v>
      </c>
      <c r="AA164" s="171">
        <f>+Y164</f>
        <v>0.12</v>
      </c>
      <c r="AB164" s="173" t="str">
        <f>IFERROR(IF(AC164="","",IF(AC164&lt;=0.6,"Moderado",IF(AC164&lt;=0.8,"Mayor","Catastrófico"))),"")</f>
        <v>Catastrófico</v>
      </c>
      <c r="AC164" s="171">
        <f>IFERROR(IF(R164="Impacto",(N164-(+N164*U164)),IF(R164="Probabilidad",N164,"")),"")</f>
        <v>1</v>
      </c>
      <c r="AD164" s="174" t="str">
        <f>IFERROR(IF(OR(AND(Z164="Rara vez",AB164="Leve"),AND(Z164="Rara vez",AB164="Menor"),AND(Z164="Improbable",AB164="Leve")),"Bajo",IF(OR(AND(Z164="Rara vez",AB164="Moderado"),AND(Z164="Improbable",AB164="Menor"),AND(Z164="Improbable",AB164="Moderado"),AND(Z164="Posible",AB164="Leve"),AND(Z164="Posible",AB164="Menor"),AND(Z164="Posible",AB164="Moderado"),AND(Z164="Probable",AB164="Leve"),AND(Z164="Probable",AB164="Menor")),"Moderado",IF(OR(AND(Z164="Rara vez",AB164="Mayor"),AND(Z164="Improbable",AB164="Mayor"),AND(Z164="Posible",AB164="Mayor"),AND(Z164="Probable",AB164="Moderado"),AND(Z164="Probable",AB164="Mayor"),AND(Z164="Casi Seguro",AB164="Leve"),AND(Z164="Casi Seguro",AB164="Menor"),AND(Z164="Casi Seguro",AB164="Moderado"),AND(Z164="Casi Seguro",AB164="Mayor")),"Alto",IF(OR(AND(Z164="Rara vez",AB164="Catastrófico"),AND(Z164="Improbable",AB164="Catastrófico"),AND(Z164="Posible",AB164="Catastrófico"),AND(Z164="Probable",AB164="Catastrófico"),AND(Z164="Casi Seguro",AB164="Catastrófico")),"Extremo","")))),"")</f>
        <v>Extremo</v>
      </c>
      <c r="AE164" s="170"/>
      <c r="AF164" s="123"/>
      <c r="AG164" s="123"/>
      <c r="AH164" s="175"/>
      <c r="AI164" s="176"/>
      <c r="AJ164" s="261"/>
      <c r="AK164" s="526"/>
      <c r="AL164" s="534"/>
      <c r="AM164" s="534"/>
      <c r="AN164" s="534"/>
      <c r="AO164" s="534"/>
      <c r="AP164" s="534"/>
      <c r="AQ164" s="534"/>
      <c r="AR164" s="534"/>
      <c r="AS164" s="178"/>
      <c r="AT164" s="178"/>
      <c r="AU164" s="178"/>
      <c r="AV164" s="178"/>
      <c r="AW164" s="178"/>
      <c r="AX164" s="178"/>
      <c r="AY164" s="178"/>
      <c r="AZ164" s="178"/>
      <c r="BA164" s="178"/>
      <c r="BB164" s="178"/>
      <c r="BC164" s="178"/>
      <c r="BD164" s="178"/>
      <c r="BE164" s="178"/>
      <c r="BF164" s="178"/>
      <c r="BG164" s="178"/>
      <c r="BH164" s="178"/>
      <c r="BI164" s="178"/>
      <c r="BJ164" s="178"/>
    </row>
    <row r="165" spans="2:62" ht="127.5" x14ac:dyDescent="0.2">
      <c r="B165" s="326"/>
      <c r="C165" s="316"/>
      <c r="D165" s="317"/>
      <c r="E165" s="313"/>
      <c r="F165" s="313"/>
      <c r="G165" s="304"/>
      <c r="H165" s="305"/>
      <c r="I165" s="306"/>
      <c r="J165" s="307"/>
      <c r="K165" s="308"/>
      <c r="L165" s="307">
        <f>IF(NOT(ISERROR(MATCH(K165,_xlfn.ANCHORARRAY(G401),0))),J403&amp;"Por favor no seleccionar los criterios de impacto",K165)</f>
        <v>0</v>
      </c>
      <c r="M165" s="306"/>
      <c r="N165" s="307"/>
      <c r="O165" s="325"/>
      <c r="P165" s="223">
        <v>2</v>
      </c>
      <c r="Q165" s="126" t="s">
        <v>374</v>
      </c>
      <c r="R165" s="224" t="str">
        <f>IF(OR(S165="Preventivo",S165="Detectivo"),"Probabilidad",IF(S165="Correctivo","Impacto",""))</f>
        <v>Probabilidad</v>
      </c>
      <c r="S165" s="170" t="s">
        <v>112</v>
      </c>
      <c r="T165" s="170" t="s">
        <v>113</v>
      </c>
      <c r="U165" s="171" t="str">
        <f t="shared" ref="U165:U168" si="256">IF(AND(S165="Preventivo",T165="Automático"),"50%",IF(AND(S165="Preventivo",T165="Manual"),"40%",IF(AND(S165="Detectivo",T165="Automático"),"40%",IF(AND(S165="Detectivo",T165="Manual"),"30%",IF(AND(S165="Correctivo",T165="Automático"),"35%",IF(AND(S165="Correctivo",T165="Manual"),"25%",""))))))</f>
        <v>40%</v>
      </c>
      <c r="V165" s="170" t="s">
        <v>119</v>
      </c>
      <c r="W165" s="170" t="s">
        <v>115</v>
      </c>
      <c r="X165" s="170" t="s">
        <v>134</v>
      </c>
      <c r="Y165" s="172">
        <f>IFERROR(IF(AND(R164="Probabilidad",R165="Probabilidad"),(AA164-(+AA164*U165)),IF(R165="Probabilidad",(J164-(+J164*U165)),IF(R165="Impacto",AA164,""))),"")</f>
        <v>7.1999999999999995E-2</v>
      </c>
      <c r="Z165" s="173" t="str">
        <f t="shared" ref="Z165:Z168" si="257">IFERROR(IF(Y165="","",IF(Y165&lt;=0.2,"Rara vez",IF(Y165&lt;=0.4,"Improbable",IF(Y165&lt;=0.6,"Posible",IF(Y165&lt;=0.8,"Probable","Casi Seguro"))))),"")</f>
        <v>Rara vez</v>
      </c>
      <c r="AA165" s="171">
        <f t="shared" ref="AA165:AA168" si="258">+Y165</f>
        <v>7.1999999999999995E-2</v>
      </c>
      <c r="AB165" s="173" t="str">
        <f t="shared" ref="AB165:AB168" si="259">IFERROR(IF(AC165="","",IF(AC165&lt;=0.6,"Moderado",IF(AC165&lt;=0.8,"Mayor","Catastrófico"))),"")</f>
        <v>Catastrófico</v>
      </c>
      <c r="AC165" s="171">
        <f>IFERROR(IF(AND(R164="Impacto",R165="Impacto"),(AC164-(+AC164*U165)),IF(R165="Impacto",(N164-(+N164*U165)),IF(R165="Probabilidad",AC164,""))),"")</f>
        <v>1</v>
      </c>
      <c r="AD165" s="174" t="str">
        <f>IFERROR(IF(OR(AND(Z165="Rara vez",AB165="Leve"),AND(Z165="Rara vez",AB165="Menor"),AND(Z165="Improbable",AB165="Leve")),"Bajo",IF(OR(AND(Z165="Rara vez",AB165="Moderado"),AND(Z165="Improbable",AB165="Menor"),AND(Z165="Improbable",AB165="Moderado"),AND(Z165="Posible",AB165="Leve"),AND(Z165="Posible",AB165="Menor"),AND(Z165="Posible",AB165="Moderado"),AND(Z165="Probable",AB165="Leve"),AND(Z165="Probable",AB165="Menor")),"Moderado",IF(OR(AND(Z165="Rara vez",AB165="Mayor"),AND(Z165="Improbable",AB165="Mayor"),AND(Z165="Posible",AB165="Mayor"),AND(Z165="Probable",AB165="Moderado"),AND(Z165="Probable",AB165="Mayor"),AND(Z165="Casi Seguro",AB165="Leve"),AND(Z165="Casi Seguro",AB165="Menor"),AND(Z165="Casi Seguro",AB165="Moderado"),AND(Z165="Casi Seguro",AB165="Mayor")),"Alto",IF(OR(AND(Z165="Rara vez",AB165="Catastrófico"),AND(Z165="Improbable",AB165="Catastrófico"),AND(Z165="Posible",AB165="Catastrófico"),AND(Z165="Probable",AB165="Catastrófico"),AND(Z165="Casi Seguro",AB165="Catastrófico")),"Extremo","")))),"")</f>
        <v>Extremo</v>
      </c>
      <c r="AE165" s="170"/>
      <c r="AF165" s="132"/>
      <c r="AG165" s="194"/>
      <c r="AH165" s="195"/>
      <c r="AI165" s="176"/>
      <c r="AJ165" s="262"/>
      <c r="AK165" s="526"/>
      <c r="AL165" s="535"/>
      <c r="AM165" s="535"/>
      <c r="AN165" s="535"/>
      <c r="AO165" s="535"/>
      <c r="AP165" s="535"/>
      <c r="AQ165" s="535"/>
      <c r="AR165" s="535"/>
      <c r="AS165" s="158"/>
      <c r="AT165" s="158"/>
      <c r="AU165" s="158"/>
      <c r="AV165" s="158"/>
      <c r="AW165" s="158"/>
      <c r="AX165" s="158"/>
      <c r="AY165" s="158"/>
      <c r="AZ165" s="158"/>
      <c r="BA165" s="158"/>
      <c r="BB165" s="158"/>
      <c r="BC165" s="158"/>
      <c r="BD165" s="158"/>
      <c r="BE165" s="158"/>
      <c r="BF165" s="158"/>
      <c r="BG165" s="158"/>
      <c r="BH165" s="158"/>
      <c r="BI165" s="158"/>
      <c r="BJ165" s="158"/>
    </row>
    <row r="166" spans="2:62" ht="102" x14ac:dyDescent="0.2">
      <c r="B166" s="326"/>
      <c r="C166" s="316"/>
      <c r="D166" s="317"/>
      <c r="E166" s="313"/>
      <c r="F166" s="313"/>
      <c r="G166" s="304"/>
      <c r="H166" s="305"/>
      <c r="I166" s="306"/>
      <c r="J166" s="307"/>
      <c r="K166" s="308"/>
      <c r="L166" s="307">
        <f>IF(NOT(ISERROR(MATCH(K166,_xlfn.ANCHORARRAY(G402),0))),J404&amp;"Por favor no seleccionar los criterios de impacto",K166)</f>
        <v>0</v>
      </c>
      <c r="M166" s="306"/>
      <c r="N166" s="307"/>
      <c r="O166" s="325"/>
      <c r="P166" s="168">
        <v>3</v>
      </c>
      <c r="Q166" s="126" t="s">
        <v>375</v>
      </c>
      <c r="R166" s="169" t="s">
        <v>118</v>
      </c>
      <c r="S166" s="170" t="s">
        <v>133</v>
      </c>
      <c r="T166" s="170" t="s">
        <v>113</v>
      </c>
      <c r="U166" s="171" t="str">
        <f t="shared" si="256"/>
        <v>30%</v>
      </c>
      <c r="V166" s="170" t="s">
        <v>119</v>
      </c>
      <c r="W166" s="170" t="s">
        <v>115</v>
      </c>
      <c r="X166" s="170" t="s">
        <v>134</v>
      </c>
      <c r="Y166" s="172">
        <f>IFERROR(IF(AND(R165="Probabilidad",R166="Probabilidad"),(AA165-(+AA165*U166)),IF(AND(R165="Impacto",R166="Probabilidad"),(AA164-(+AA164*U166)),IF(R166="Impacto",AA165,""))),"")</f>
        <v>5.04E-2</v>
      </c>
      <c r="Z166" s="173" t="str">
        <f t="shared" si="257"/>
        <v>Rara vez</v>
      </c>
      <c r="AA166" s="171">
        <f t="shared" si="258"/>
        <v>5.04E-2</v>
      </c>
      <c r="AB166" s="173" t="str">
        <f t="shared" si="259"/>
        <v>Catastrófico</v>
      </c>
      <c r="AC166" s="171">
        <f>IFERROR(IF(AND(R165="Impacto",R166="Impacto"),(AC165-(+AC165*U166)),IF(AND(R165="Probabilidad",R166="Impacto"),(AC164-(+AC164*U166)),IF(R166="Probabilidad",AC165,""))),"")</f>
        <v>1</v>
      </c>
      <c r="AD166" s="174" t="str">
        <f>IFERROR(IF(OR(AND(Z166="Rara vez",AB166="Leve"),AND(Z166="Rara vez",AB166="Menor"),AND(Z166="Improbable",AB166="Leve")),"Bajo",IF(OR(AND(Z166="Rara vez",AB166="Moderado"),AND(Z166="Improbable",AB166="Menor"),AND(Z166="Improbable",AB166="Moderado"),AND(Z166="Posible",AB166="Leve"),AND(Z166="Posible",AB166="Menor"),AND(Z166="Posible",AB166="Moderado"),AND(Z166="Probable",AB166="Leve"),AND(Z166="Probable",AB166="Menor")),"Moderado",IF(OR(AND(Z166="Rara vez",AB166="Mayor"),AND(Z166="Improbable",AB166="Mayor"),AND(Z166="Posible",AB166="Mayor"),AND(Z166="Probable",AB166="Moderado"),AND(Z166="Probable",AB166="Mayor"),AND(Z166="Casi Seguro",AB166="Leve"),AND(Z166="Casi Seguro",AB166="Menor"),AND(Z166="Casi Seguro",AB166="Moderado"),AND(Z166="Casi Seguro",AB166="Mayor")),"Alto",IF(OR(AND(Z166="Rara vez",AB166="Catastrófico"),AND(Z166="Improbable",AB166="Catastrófico"),AND(Z166="Posible",AB166="Catastrófico"),AND(Z166="Probable",AB166="Catastrófico"),AND(Z166="Casi Seguro",AB166="Catastrófico")),"Extremo","")))),"")</f>
        <v>Extremo</v>
      </c>
      <c r="AE166" s="196"/>
      <c r="AF166" s="136"/>
      <c r="AG166" s="137"/>
      <c r="AH166" s="131"/>
      <c r="AI166" s="187"/>
      <c r="AJ166" s="263"/>
      <c r="AK166" s="527"/>
      <c r="AL166" s="535"/>
      <c r="AM166" s="535"/>
      <c r="AN166" s="535"/>
      <c r="AO166" s="535"/>
      <c r="AP166" s="535"/>
      <c r="AQ166" s="535"/>
      <c r="AR166" s="535"/>
      <c r="AS166" s="158"/>
      <c r="AT166" s="158"/>
      <c r="AU166" s="158"/>
      <c r="AV166" s="158"/>
      <c r="AW166" s="158"/>
      <c r="AX166" s="158"/>
      <c r="AY166" s="158"/>
      <c r="AZ166" s="158"/>
      <c r="BA166" s="158"/>
      <c r="BB166" s="158"/>
      <c r="BC166" s="158"/>
      <c r="BD166" s="158"/>
      <c r="BE166" s="158"/>
      <c r="BF166" s="158"/>
      <c r="BG166" s="158"/>
      <c r="BH166" s="158"/>
      <c r="BI166" s="158"/>
      <c r="BJ166" s="158"/>
    </row>
    <row r="167" spans="2:62" ht="75" x14ac:dyDescent="0.2">
      <c r="B167" s="326"/>
      <c r="C167" s="316"/>
      <c r="D167" s="317"/>
      <c r="E167" s="313"/>
      <c r="F167" s="313"/>
      <c r="G167" s="304"/>
      <c r="H167" s="305"/>
      <c r="I167" s="306"/>
      <c r="J167" s="307"/>
      <c r="K167" s="308"/>
      <c r="L167" s="307">
        <f>IF(NOT(ISERROR(MATCH(K167,_xlfn.ANCHORARRAY(G403),0))),J405&amp;"Por favor no seleccionar los criterios de impacto",K167)</f>
        <v>0</v>
      </c>
      <c r="M167" s="306"/>
      <c r="N167" s="307"/>
      <c r="O167" s="325"/>
      <c r="P167" s="168">
        <v>4</v>
      </c>
      <c r="Q167" s="129" t="s">
        <v>376</v>
      </c>
      <c r="R167" s="169" t="s">
        <v>118</v>
      </c>
      <c r="S167" s="170" t="s">
        <v>133</v>
      </c>
      <c r="T167" s="170" t="s">
        <v>113</v>
      </c>
      <c r="U167" s="171" t="str">
        <f t="shared" si="256"/>
        <v>30%</v>
      </c>
      <c r="V167" s="170" t="s">
        <v>114</v>
      </c>
      <c r="W167" s="170" t="s">
        <v>115</v>
      </c>
      <c r="X167" s="170" t="s">
        <v>134</v>
      </c>
      <c r="Y167" s="172">
        <f t="shared" ref="Y167:Y168" si="260">IFERROR(IF(AND(R166="Probabilidad",R167="Probabilidad"),(AA166-(+AA166*U167)),IF(AND(R166="Impacto",R167="Probabilidad"),(AA165-(+AA165*U167)),IF(R167="Impacto",AA166,""))),"")</f>
        <v>3.5279999999999999E-2</v>
      </c>
      <c r="Z167" s="173" t="str">
        <f t="shared" si="257"/>
        <v>Rara vez</v>
      </c>
      <c r="AA167" s="171">
        <f t="shared" si="258"/>
        <v>3.5279999999999999E-2</v>
      </c>
      <c r="AB167" s="173" t="str">
        <f t="shared" si="259"/>
        <v>Catastrófico</v>
      </c>
      <c r="AC167" s="171">
        <f t="shared" ref="AC167:AC174" si="261">IFERROR(IF(AND(R166="Impacto",R167="Impacto"),(AC166-(+AC166*U167)),IF(AND(R166="Probabilidad",R167="Impacto"),(AC165-(+AC165*U167)),IF(R167="Probabilidad",AC166,""))),"")</f>
        <v>1</v>
      </c>
      <c r="AD167" s="174" t="str">
        <f t="shared" ref="AD167:AD169" si="262">IFERROR(IF(OR(AND(Z167="Rara vez",AB167="Leve"),AND(Z167="Rara vez",AB167="Menor"),AND(Z167="Improbable",AB167="Leve")),"Bajo",IF(OR(AND(Z167="Rara vez",AB167="Moderado"),AND(Z167="Improbable",AB167="Menor"),AND(Z167="Improbable",AB167="Moderado"),AND(Z167="Posible",AB167="Leve"),AND(Z167="Posible",AB167="Menor"),AND(Z167="Posible",AB167="Moderado"),AND(Z167="Probable",AB167="Leve"),AND(Z167="Probable",AB167="Menor")),"Moderado",IF(OR(AND(Z167="Rara vez",AB167="Mayor"),AND(Z167="Improbable",AB167="Mayor"),AND(Z167="Posible",AB167="Mayor"),AND(Z167="Probable",AB167="Moderado"),AND(Z167="Probable",AB167="Mayor"),AND(Z167="Casi Seguro",AB167="Leve"),AND(Z167="Casi Seguro",AB167="Menor"),AND(Z167="Casi Seguro",AB167="Moderado"),AND(Z167="Casi Seguro",AB167="Mayor")),"Alto",IF(OR(AND(Z167="Rara vez",AB167="Catastrófico"),AND(Z167="Improbable",AB167="Catastrófico"),AND(Z167="Posible",AB167="Catastrófico"),AND(Z167="Probable",AB167="Catastrófico"),AND(Z167="Casi Seguro",AB167="Catastrófico")),"Extremo","")))),"")</f>
        <v>Extremo</v>
      </c>
      <c r="AE167" s="170"/>
      <c r="AF167" s="136"/>
      <c r="AG167" s="203"/>
      <c r="AH167" s="202"/>
      <c r="AI167" s="136"/>
      <c r="AJ167" s="264"/>
      <c r="AK167" s="528"/>
      <c r="AL167" s="535"/>
      <c r="AM167" s="535"/>
      <c r="AN167" s="535"/>
      <c r="AO167" s="535"/>
      <c r="AP167" s="535"/>
      <c r="AQ167" s="535"/>
      <c r="AR167" s="535"/>
      <c r="AS167" s="158"/>
      <c r="AT167" s="158"/>
      <c r="AU167" s="158"/>
      <c r="AV167" s="158"/>
      <c r="AW167" s="158"/>
      <c r="AX167" s="158"/>
      <c r="AY167" s="158"/>
      <c r="AZ167" s="158"/>
      <c r="BA167" s="158"/>
      <c r="BB167" s="158"/>
      <c r="BC167" s="158"/>
      <c r="BD167" s="158"/>
      <c r="BE167" s="158"/>
      <c r="BF167" s="158"/>
      <c r="BG167" s="158"/>
      <c r="BH167" s="158"/>
      <c r="BI167" s="158"/>
      <c r="BJ167" s="158"/>
    </row>
    <row r="168" spans="2:62" ht="114.75" x14ac:dyDescent="0.2">
      <c r="B168" s="326"/>
      <c r="C168" s="316"/>
      <c r="D168" s="317"/>
      <c r="E168" s="313"/>
      <c r="F168" s="313"/>
      <c r="G168" s="304"/>
      <c r="H168" s="305"/>
      <c r="I168" s="306"/>
      <c r="J168" s="307"/>
      <c r="K168" s="308"/>
      <c r="L168" s="307">
        <f>IF(NOT(ISERROR(MATCH(K168,_xlfn.ANCHORARRAY(G404),0))),J406&amp;"Por favor no seleccionar los criterios de impacto",K168)</f>
        <v>0</v>
      </c>
      <c r="M168" s="306"/>
      <c r="N168" s="307"/>
      <c r="O168" s="325"/>
      <c r="P168" s="168">
        <v>5</v>
      </c>
      <c r="Q168" s="129" t="s">
        <v>377</v>
      </c>
      <c r="R168" s="169" t="s">
        <v>118</v>
      </c>
      <c r="S168" s="170" t="s">
        <v>133</v>
      </c>
      <c r="T168" s="170" t="s">
        <v>113</v>
      </c>
      <c r="U168" s="171" t="str">
        <f t="shared" si="256"/>
        <v>30%</v>
      </c>
      <c r="V168" s="170" t="s">
        <v>114</v>
      </c>
      <c r="W168" s="170" t="s">
        <v>115</v>
      </c>
      <c r="X168" s="170" t="s">
        <v>134</v>
      </c>
      <c r="Y168" s="172">
        <f t="shared" si="260"/>
        <v>2.4695999999999999E-2</v>
      </c>
      <c r="Z168" s="173" t="str">
        <f t="shared" si="257"/>
        <v>Rara vez</v>
      </c>
      <c r="AA168" s="171">
        <f t="shared" si="258"/>
        <v>2.4695999999999999E-2</v>
      </c>
      <c r="AB168" s="173" t="str">
        <f t="shared" si="259"/>
        <v>Catastrófico</v>
      </c>
      <c r="AC168" s="171">
        <f t="shared" si="261"/>
        <v>1</v>
      </c>
      <c r="AD168" s="174" t="str">
        <f t="shared" si="262"/>
        <v>Extremo</v>
      </c>
      <c r="AE168" s="179"/>
      <c r="AF168" s="136"/>
      <c r="AG168" s="203"/>
      <c r="AH168" s="202"/>
      <c r="AI168" s="203"/>
      <c r="AJ168" s="264"/>
      <c r="AK168" s="528"/>
      <c r="AL168" s="535"/>
      <c r="AM168" s="535"/>
      <c r="AN168" s="535"/>
      <c r="AO168" s="535"/>
      <c r="AP168" s="535"/>
      <c r="AQ168" s="535"/>
      <c r="AR168" s="535"/>
      <c r="AS168" s="158"/>
      <c r="AT168" s="158"/>
      <c r="AU168" s="158"/>
      <c r="AV168" s="158"/>
      <c r="AW168" s="158"/>
      <c r="AX168" s="158"/>
      <c r="AY168" s="158"/>
      <c r="AZ168" s="158"/>
      <c r="BA168" s="158"/>
      <c r="BB168" s="158"/>
      <c r="BC168" s="158"/>
      <c r="BD168" s="158"/>
      <c r="BE168" s="158"/>
      <c r="BF168" s="158"/>
      <c r="BG168" s="158"/>
      <c r="BH168" s="158"/>
      <c r="BI168" s="158"/>
      <c r="BJ168" s="158"/>
    </row>
    <row r="169" spans="2:62" ht="76.5" x14ac:dyDescent="0.2">
      <c r="B169" s="326"/>
      <c r="C169" s="316"/>
      <c r="D169" s="317"/>
      <c r="E169" s="313"/>
      <c r="F169" s="313"/>
      <c r="G169" s="304"/>
      <c r="H169" s="305"/>
      <c r="I169" s="306"/>
      <c r="J169" s="307"/>
      <c r="K169" s="308"/>
      <c r="L169" s="307"/>
      <c r="M169" s="306"/>
      <c r="N169" s="307"/>
      <c r="O169" s="325"/>
      <c r="P169" s="168">
        <v>6</v>
      </c>
      <c r="Q169" s="129" t="s">
        <v>378</v>
      </c>
      <c r="R169" s="169" t="s">
        <v>118</v>
      </c>
      <c r="S169" s="182" t="s">
        <v>112</v>
      </c>
      <c r="T169" s="170" t="s">
        <v>113</v>
      </c>
      <c r="U169" s="171" t="str">
        <f t="shared" ref="U169:U174" si="263">IF(AND(S169="Preventivo",T169="Automático"),"50%",IF(AND(S169="Preventivo",T169="Manual"),"40%",IF(AND(S169="Detectivo",T169="Automático"),"40%",IF(AND(S169="Detectivo",T169="Manual"),"30%",IF(AND(S169="Correctivo",T169="Automático"),"35%",IF(AND(S169="Correctivo",T169="Manual"),"25%",""))))))</f>
        <v>40%</v>
      </c>
      <c r="V169" s="170" t="s">
        <v>114</v>
      </c>
      <c r="W169" s="170" t="s">
        <v>115</v>
      </c>
      <c r="X169" s="170" t="s">
        <v>134</v>
      </c>
      <c r="Y169" s="172">
        <f>IFERROR(IF(AND(R164="Probabilidad",R169="Probabilidad"),(AA164-(+AA164*U169)),IF(AND(R164="Impacto",R169="Probabilidad"),(#REF!-(+#REF!*U169)),IF(R169="Impacto",AA164,""))),"")</f>
        <v>7.1999999999999995E-2</v>
      </c>
      <c r="Z169" s="173" t="str">
        <f t="shared" ref="Z169:Z174" si="264">IFERROR(IF(Y169="","",IF(Y169&lt;=0.2,"Rara vez",IF(Y169&lt;=0.4,"Improbable",IF(Y169&lt;=0.6,"Posible",IF(Y169&lt;=0.8,"Probable","Casi Seguro"))))),"")</f>
        <v>Rara vez</v>
      </c>
      <c r="AA169" s="171">
        <f t="shared" ref="AA169:AA174" si="265">+Y169</f>
        <v>7.1999999999999995E-2</v>
      </c>
      <c r="AB169" s="173" t="str">
        <f t="shared" ref="AB169:AB174" si="266">IFERROR(IF(AC169="","",IF(AC169&lt;=0.6,"Moderado",IF(AC169&lt;=0.8,"Mayor","Catastrófico"))),"")</f>
        <v>Catastrófico</v>
      </c>
      <c r="AC169" s="171">
        <f t="shared" si="261"/>
        <v>1</v>
      </c>
      <c r="AD169" s="174" t="str">
        <f t="shared" si="262"/>
        <v>Extremo</v>
      </c>
      <c r="AE169" s="179"/>
      <c r="AF169" s="136"/>
      <c r="AG169" s="203"/>
      <c r="AH169" s="202"/>
      <c r="AI169" s="203"/>
      <c r="AJ169" s="264"/>
      <c r="AK169" s="528"/>
      <c r="AL169" s="535"/>
      <c r="AM169" s="535"/>
      <c r="AN169" s="535"/>
      <c r="AO169" s="535"/>
      <c r="AP169" s="535"/>
      <c r="AQ169" s="535"/>
      <c r="AR169" s="535"/>
      <c r="AS169" s="158"/>
      <c r="AT169" s="158"/>
      <c r="AU169" s="158"/>
      <c r="AV169" s="158"/>
      <c r="AW169" s="158"/>
      <c r="AX169" s="158"/>
      <c r="AY169" s="158"/>
      <c r="AZ169" s="158"/>
      <c r="BA169" s="158"/>
      <c r="BB169" s="158"/>
      <c r="BC169" s="158"/>
      <c r="BD169" s="158"/>
      <c r="BE169" s="158"/>
      <c r="BF169" s="158"/>
      <c r="BG169" s="158"/>
      <c r="BH169" s="158"/>
      <c r="BI169" s="158"/>
      <c r="BJ169" s="158"/>
    </row>
    <row r="170" spans="2:62" ht="76.5" x14ac:dyDescent="0.2">
      <c r="B170" s="326"/>
      <c r="C170" s="316"/>
      <c r="D170" s="317"/>
      <c r="E170" s="313"/>
      <c r="F170" s="313"/>
      <c r="G170" s="304"/>
      <c r="H170" s="305"/>
      <c r="I170" s="306"/>
      <c r="J170" s="307"/>
      <c r="K170" s="308"/>
      <c r="L170" s="307"/>
      <c r="M170" s="306"/>
      <c r="N170" s="307"/>
      <c r="O170" s="325"/>
      <c r="P170" s="168">
        <v>7</v>
      </c>
      <c r="Q170" s="129" t="s">
        <v>379</v>
      </c>
      <c r="R170" s="169" t="s">
        <v>118</v>
      </c>
      <c r="S170" s="170" t="s">
        <v>133</v>
      </c>
      <c r="T170" s="170" t="s">
        <v>113</v>
      </c>
      <c r="U170" s="171" t="str">
        <f t="shared" si="263"/>
        <v>30%</v>
      </c>
      <c r="V170" s="170" t="s">
        <v>119</v>
      </c>
      <c r="W170" s="170" t="s">
        <v>115</v>
      </c>
      <c r="X170" s="170" t="s">
        <v>134</v>
      </c>
      <c r="Y170" s="172">
        <f>IFERROR(IF(AND(R165="Probabilidad",R170="Probabilidad"),(AA165-(+AA165*U170)),IF(AND(R165="Impacto",R170="Probabilidad"),(AA164-(+AA164*U170)),IF(R170="Impacto",AA165,""))),"")</f>
        <v>5.04E-2</v>
      </c>
      <c r="Z170" s="173" t="str">
        <f t="shared" si="264"/>
        <v>Rara vez</v>
      </c>
      <c r="AA170" s="171">
        <f t="shared" si="265"/>
        <v>5.04E-2</v>
      </c>
      <c r="AB170" s="173" t="str">
        <f t="shared" si="266"/>
        <v>Catastrófico</v>
      </c>
      <c r="AC170" s="171">
        <f t="shared" si="261"/>
        <v>1</v>
      </c>
      <c r="AD170" s="174" t="str">
        <f t="shared" ref="AD170:AD174" si="267">IFERROR(IF(OR(AND(Z170="Rara vez",AB170="Leve"),AND(Z170="Rara vez",AB170="Menor"),AND(Z170="Improbable",AB170="Leve")),"Bajo",IF(OR(AND(Z170="Rara vez",AB170="Moderado"),AND(Z170="Improbable",AB170="Menor"),AND(Z170="Improbable",AB170="Moderado"),AND(Z170="Posible",AB170="Leve"),AND(Z170="Posible",AB170="Menor"),AND(Z170="Posible",AB170="Moderado"),AND(Z170="Probable",AB170="Leve"),AND(Z170="Probable",AB170="Menor")),"Moderado",IF(OR(AND(Z170="Rara vez",AB170="Mayor"),AND(Z170="Improbable",AB170="Mayor"),AND(Z170="Posible",AB170="Mayor"),AND(Z170="Probable",AB170="Moderado"),AND(Z170="Probable",AB170="Mayor"),AND(Z170="Casi Seguro",AB170="Leve"),AND(Z170="Casi Seguro",AB170="Menor"),AND(Z170="Casi Seguro",AB170="Moderado"),AND(Z170="Casi Seguro",AB170="Mayor")),"Alto",IF(OR(AND(Z170="Rara vez",AB170="Catastrófico"),AND(Z170="Improbable",AB170="Catastrófico"),AND(Z170="Posible",AB170="Catastrófico"),AND(Z170="Probable",AB170="Catastrófico"),AND(Z170="Casi Seguro",AB170="Catastrófico")),"Extremo","")))),"")</f>
        <v>Extremo</v>
      </c>
      <c r="AE170" s="179"/>
      <c r="AF170" s="136"/>
      <c r="AG170" s="203"/>
      <c r="AH170" s="202"/>
      <c r="AI170" s="203"/>
      <c r="AJ170" s="264"/>
      <c r="AK170" s="528"/>
      <c r="AL170" s="535"/>
      <c r="AM170" s="535"/>
      <c r="AN170" s="535"/>
      <c r="AO170" s="535"/>
      <c r="AP170" s="535"/>
      <c r="AQ170" s="535"/>
      <c r="AR170" s="535"/>
      <c r="AS170" s="158"/>
      <c r="AT170" s="158"/>
      <c r="AU170" s="158"/>
      <c r="AV170" s="158"/>
      <c r="AW170" s="158"/>
      <c r="AX170" s="158"/>
      <c r="AY170" s="158"/>
      <c r="AZ170" s="158"/>
      <c r="BA170" s="158"/>
      <c r="BB170" s="158"/>
      <c r="BC170" s="158"/>
      <c r="BD170" s="158"/>
      <c r="BE170" s="158"/>
      <c r="BF170" s="158"/>
      <c r="BG170" s="158"/>
      <c r="BH170" s="158"/>
      <c r="BI170" s="158"/>
      <c r="BJ170" s="158"/>
    </row>
    <row r="171" spans="2:62" ht="65.25" x14ac:dyDescent="0.2">
      <c r="B171" s="326"/>
      <c r="C171" s="316"/>
      <c r="D171" s="317"/>
      <c r="E171" s="313"/>
      <c r="F171" s="313"/>
      <c r="G171" s="304"/>
      <c r="H171" s="305"/>
      <c r="I171" s="306"/>
      <c r="J171" s="307"/>
      <c r="K171" s="308"/>
      <c r="L171" s="307"/>
      <c r="M171" s="306"/>
      <c r="N171" s="307"/>
      <c r="O171" s="325"/>
      <c r="P171" s="168">
        <v>8</v>
      </c>
      <c r="Q171" s="129" t="s">
        <v>380</v>
      </c>
      <c r="R171" s="169" t="s">
        <v>136</v>
      </c>
      <c r="S171" s="182" t="s">
        <v>137</v>
      </c>
      <c r="T171" s="170" t="s">
        <v>113</v>
      </c>
      <c r="U171" s="171" t="str">
        <f t="shared" si="263"/>
        <v>25%</v>
      </c>
      <c r="V171" s="170" t="s">
        <v>119</v>
      </c>
      <c r="W171" s="170" t="s">
        <v>115</v>
      </c>
      <c r="X171" s="170" t="s">
        <v>134</v>
      </c>
      <c r="Y171" s="172">
        <f t="shared" ref="Y171:Y174" si="268">IFERROR(IF(AND(R166="Probabilidad",R171="Probabilidad"),(AA166-(+AA166*U171)),IF(AND(R166="Impacto",R171="Probabilidad"),(AA165-(+AA165*U171)),IF(R171="Impacto",AA166,""))),"")</f>
        <v>5.04E-2</v>
      </c>
      <c r="Z171" s="173" t="str">
        <f t="shared" si="264"/>
        <v>Rara vez</v>
      </c>
      <c r="AA171" s="171">
        <f t="shared" si="265"/>
        <v>5.04E-2</v>
      </c>
      <c r="AB171" s="173" t="str">
        <f t="shared" si="266"/>
        <v>Mayor</v>
      </c>
      <c r="AC171" s="171">
        <f t="shared" si="261"/>
        <v>0.75</v>
      </c>
      <c r="AD171" s="174" t="str">
        <f t="shared" si="267"/>
        <v>Alto</v>
      </c>
      <c r="AE171" s="179"/>
      <c r="AF171" s="136"/>
      <c r="AG171" s="203"/>
      <c r="AH171" s="202"/>
      <c r="AI171" s="203"/>
      <c r="AJ171" s="264"/>
      <c r="AK171" s="528"/>
      <c r="AL171" s="535"/>
      <c r="AM171" s="535"/>
      <c r="AN171" s="535"/>
      <c r="AO171" s="535"/>
      <c r="AP171" s="535"/>
      <c r="AQ171" s="535"/>
      <c r="AR171" s="535"/>
      <c r="AS171" s="158"/>
      <c r="AT171" s="158"/>
      <c r="AU171" s="158"/>
      <c r="AV171" s="158"/>
      <c r="AW171" s="158"/>
      <c r="AX171" s="158"/>
      <c r="AY171" s="158"/>
      <c r="AZ171" s="158"/>
      <c r="BA171" s="158"/>
      <c r="BB171" s="158"/>
      <c r="BC171" s="158"/>
      <c r="BD171" s="158"/>
      <c r="BE171" s="158"/>
      <c r="BF171" s="158"/>
      <c r="BG171" s="158"/>
      <c r="BH171" s="158"/>
      <c r="BI171" s="158"/>
      <c r="BJ171" s="158"/>
    </row>
    <row r="172" spans="2:62" ht="102" x14ac:dyDescent="0.2">
      <c r="B172" s="326"/>
      <c r="C172" s="316"/>
      <c r="D172" s="317"/>
      <c r="E172" s="313"/>
      <c r="F172" s="313"/>
      <c r="G172" s="304"/>
      <c r="H172" s="305"/>
      <c r="I172" s="306"/>
      <c r="J172" s="307"/>
      <c r="K172" s="308"/>
      <c r="L172" s="307"/>
      <c r="M172" s="306"/>
      <c r="N172" s="307"/>
      <c r="O172" s="325"/>
      <c r="P172" s="168">
        <v>9</v>
      </c>
      <c r="Q172" s="129" t="s">
        <v>381</v>
      </c>
      <c r="R172" s="169" t="s">
        <v>118</v>
      </c>
      <c r="S172" s="182" t="s">
        <v>112</v>
      </c>
      <c r="T172" s="170" t="s">
        <v>113</v>
      </c>
      <c r="U172" s="171" t="str">
        <f t="shared" si="263"/>
        <v>40%</v>
      </c>
      <c r="V172" s="170" t="s">
        <v>119</v>
      </c>
      <c r="W172" s="170" t="s">
        <v>115</v>
      </c>
      <c r="X172" s="170" t="s">
        <v>134</v>
      </c>
      <c r="Y172" s="172">
        <f t="shared" si="268"/>
        <v>2.1167999999999999E-2</v>
      </c>
      <c r="Z172" s="173" t="str">
        <f t="shared" si="264"/>
        <v>Rara vez</v>
      </c>
      <c r="AA172" s="171">
        <f t="shared" si="265"/>
        <v>2.1167999999999999E-2</v>
      </c>
      <c r="AB172" s="173" t="str">
        <f t="shared" si="266"/>
        <v>Mayor</v>
      </c>
      <c r="AC172" s="171">
        <f t="shared" si="261"/>
        <v>0.75</v>
      </c>
      <c r="AD172" s="174" t="str">
        <f t="shared" si="267"/>
        <v>Alto</v>
      </c>
      <c r="AE172" s="179"/>
      <c r="AF172" s="136"/>
      <c r="AG172" s="203"/>
      <c r="AH172" s="202"/>
      <c r="AI172" s="203"/>
      <c r="AJ172" s="264"/>
      <c r="AK172" s="528"/>
      <c r="AL172" s="535"/>
      <c r="AM172" s="535"/>
      <c r="AN172" s="535"/>
      <c r="AO172" s="535"/>
      <c r="AP172" s="535"/>
      <c r="AQ172" s="535"/>
      <c r="AR172" s="535"/>
      <c r="AS172" s="158"/>
      <c r="AT172" s="158"/>
      <c r="AU172" s="158"/>
      <c r="AV172" s="158"/>
      <c r="AW172" s="158"/>
      <c r="AX172" s="158"/>
      <c r="AY172" s="158"/>
      <c r="AZ172" s="158"/>
      <c r="BA172" s="158"/>
      <c r="BB172" s="158"/>
      <c r="BC172" s="158"/>
      <c r="BD172" s="158"/>
      <c r="BE172" s="158"/>
      <c r="BF172" s="158"/>
      <c r="BG172" s="158"/>
      <c r="BH172" s="158"/>
      <c r="BI172" s="158"/>
      <c r="BJ172" s="158"/>
    </row>
    <row r="173" spans="2:62" ht="102" x14ac:dyDescent="0.2">
      <c r="B173" s="326"/>
      <c r="C173" s="316"/>
      <c r="D173" s="317"/>
      <c r="E173" s="313"/>
      <c r="F173" s="313"/>
      <c r="G173" s="304"/>
      <c r="H173" s="305"/>
      <c r="I173" s="306"/>
      <c r="J173" s="307"/>
      <c r="K173" s="308"/>
      <c r="L173" s="307"/>
      <c r="M173" s="306"/>
      <c r="N173" s="307"/>
      <c r="O173" s="325"/>
      <c r="P173" s="168">
        <v>10</v>
      </c>
      <c r="Q173" s="129" t="s">
        <v>382</v>
      </c>
      <c r="R173" s="169" t="s">
        <v>118</v>
      </c>
      <c r="S173" s="170" t="s">
        <v>112</v>
      </c>
      <c r="T173" s="170" t="s">
        <v>113</v>
      </c>
      <c r="U173" s="171" t="str">
        <f t="shared" si="263"/>
        <v>40%</v>
      </c>
      <c r="V173" s="170" t="s">
        <v>119</v>
      </c>
      <c r="W173" s="170" t="s">
        <v>115</v>
      </c>
      <c r="X173" s="170" t="s">
        <v>134</v>
      </c>
      <c r="Y173" s="172">
        <f t="shared" si="268"/>
        <v>1.4817599999999998E-2</v>
      </c>
      <c r="Z173" s="173" t="str">
        <f t="shared" si="264"/>
        <v>Rara vez</v>
      </c>
      <c r="AA173" s="171">
        <f t="shared" si="265"/>
        <v>1.4817599999999998E-2</v>
      </c>
      <c r="AB173" s="173" t="str">
        <f t="shared" si="266"/>
        <v>Mayor</v>
      </c>
      <c r="AC173" s="171">
        <f t="shared" si="261"/>
        <v>0.75</v>
      </c>
      <c r="AD173" s="174" t="str">
        <f t="shared" si="267"/>
        <v>Alto</v>
      </c>
      <c r="AE173" s="179"/>
      <c r="AF173" s="136"/>
      <c r="AG173" s="203"/>
      <c r="AH173" s="202"/>
      <c r="AI173" s="203"/>
      <c r="AJ173" s="264"/>
      <c r="AK173" s="528"/>
      <c r="AL173" s="535"/>
      <c r="AM173" s="535"/>
      <c r="AN173" s="535"/>
      <c r="AO173" s="535"/>
      <c r="AP173" s="535"/>
      <c r="AQ173" s="535"/>
      <c r="AR173" s="535"/>
      <c r="AS173" s="158"/>
      <c r="AT173" s="158"/>
      <c r="AU173" s="158"/>
      <c r="AV173" s="158"/>
      <c r="AW173" s="158"/>
      <c r="AX173" s="158"/>
      <c r="AY173" s="158"/>
      <c r="AZ173" s="158"/>
      <c r="BA173" s="158"/>
      <c r="BB173" s="158"/>
      <c r="BC173" s="158"/>
      <c r="BD173" s="158"/>
      <c r="BE173" s="158"/>
      <c r="BF173" s="158"/>
      <c r="BG173" s="158"/>
      <c r="BH173" s="158"/>
      <c r="BI173" s="158"/>
      <c r="BJ173" s="158"/>
    </row>
    <row r="174" spans="2:62" ht="76.5" x14ac:dyDescent="0.2">
      <c r="B174" s="326"/>
      <c r="C174" s="320"/>
      <c r="D174" s="317"/>
      <c r="E174" s="313"/>
      <c r="F174" s="313"/>
      <c r="G174" s="304"/>
      <c r="H174" s="305"/>
      <c r="I174" s="306"/>
      <c r="J174" s="307"/>
      <c r="K174" s="308"/>
      <c r="L174" s="307">
        <f>IF(NOT(ISERROR(MATCH(K174,_xlfn.ANCHORARRAY(G405),0))),J407&amp;"Por favor no seleccionar los criterios de impacto",K174)</f>
        <v>0</v>
      </c>
      <c r="M174" s="306"/>
      <c r="N174" s="307"/>
      <c r="O174" s="319"/>
      <c r="P174" s="168">
        <v>11</v>
      </c>
      <c r="Q174" s="129" t="s">
        <v>383</v>
      </c>
      <c r="R174" s="169" t="s">
        <v>136</v>
      </c>
      <c r="S174" s="182" t="s">
        <v>137</v>
      </c>
      <c r="T174" s="170" t="s">
        <v>113</v>
      </c>
      <c r="U174" s="171" t="str">
        <f t="shared" si="263"/>
        <v>25%</v>
      </c>
      <c r="V174" s="170" t="s">
        <v>114</v>
      </c>
      <c r="W174" s="170" t="s">
        <v>115</v>
      </c>
      <c r="X174" s="170" t="s">
        <v>134</v>
      </c>
      <c r="Y174" s="172">
        <f t="shared" si="268"/>
        <v>7.1999999999999995E-2</v>
      </c>
      <c r="Z174" s="173" t="str">
        <f t="shared" si="264"/>
        <v>Rara vez</v>
      </c>
      <c r="AA174" s="171">
        <f t="shared" si="265"/>
        <v>7.1999999999999995E-2</v>
      </c>
      <c r="AB174" s="173" t="str">
        <f t="shared" si="266"/>
        <v>Moderado</v>
      </c>
      <c r="AC174" s="171">
        <f t="shared" si="261"/>
        <v>0.5625</v>
      </c>
      <c r="AD174" s="174" t="str">
        <f t="shared" si="267"/>
        <v>Moderado</v>
      </c>
      <c r="AE174" s="170"/>
      <c r="AF174" s="136"/>
      <c r="AG174" s="136"/>
      <c r="AH174" s="131"/>
      <c r="AI174" s="131"/>
      <c r="AJ174" s="177"/>
      <c r="AK174" s="523"/>
      <c r="AL174" s="535"/>
      <c r="AM174" s="535"/>
      <c r="AN174" s="535"/>
      <c r="AO174" s="535"/>
      <c r="AP174" s="535"/>
      <c r="AQ174" s="535"/>
      <c r="AR174" s="535"/>
      <c r="AS174" s="158"/>
      <c r="AT174" s="158"/>
      <c r="AU174" s="158"/>
      <c r="AV174" s="158"/>
      <c r="AW174" s="158"/>
      <c r="AX174" s="158"/>
      <c r="AY174" s="158"/>
      <c r="AZ174" s="158"/>
      <c r="BA174" s="158"/>
      <c r="BB174" s="158"/>
      <c r="BC174" s="158"/>
      <c r="BD174" s="158"/>
      <c r="BE174" s="158"/>
      <c r="BF174" s="158"/>
      <c r="BG174" s="158"/>
      <c r="BH174" s="158"/>
      <c r="BI174" s="158"/>
      <c r="BJ174" s="158"/>
    </row>
    <row r="175" spans="2:62" s="163" customFormat="1" ht="129" customHeight="1" x14ac:dyDescent="0.25">
      <c r="B175" s="314" t="s">
        <v>384</v>
      </c>
      <c r="C175" s="315" t="s">
        <v>385</v>
      </c>
      <c r="D175" s="317" t="s">
        <v>386</v>
      </c>
      <c r="E175" s="313" t="s">
        <v>127</v>
      </c>
      <c r="F175" s="313" t="s">
        <v>387</v>
      </c>
      <c r="G175" s="304" t="s">
        <v>388</v>
      </c>
      <c r="H175" s="305" t="s">
        <v>109</v>
      </c>
      <c r="I175" s="306" t="str">
        <f>IF(H175&lt;=0,"",IF(H175="No se ha presentado en los últimos 5 años","Rara vez",IF(H175="Al menos 1 vez en los últimos 5 años","Improbable",IF(H175="Al menos 1 vez en los últimos 2 años","Posible",IF(H175="Al menos 1 vez en el último año","Probable",IF(H175="Más de 1 vez al año","Casi Seguro"))))))</f>
        <v>Rara vez</v>
      </c>
      <c r="J175" s="307">
        <f>IF(I175="","",IF(I175="Rara vez",0.2,IF(I175="Improbable",0.4,IF(I175="Posible",0.6,IF(I175="Probable",0.8,IF(I175="Casi Seguro",1,))))))</f>
        <v>0.2</v>
      </c>
      <c r="K175" s="308" t="s">
        <v>131</v>
      </c>
      <c r="L175" s="307" t="str">
        <f>IF(NOT(ISERROR(MATCH(K175,'Tabla Impacto'!$B$220:$B$222,0))),'Tabla Impacto'!$F$222&amp;"Por favor no seleccionar los criterios de impacto(Criterios para calificar el impacto)",K175)</f>
        <v xml:space="preserve">Responder afirmativamente de DOCE a DIECINUEVE </v>
      </c>
      <c r="M175" s="306" t="str">
        <f>IF(OR(L175='Tabla Impacto'!$C$5),"Moderado",IF(OR(L175='Tabla Impacto'!$C$6),"Mayor",IF(OR(L175='Tabla Impacto'!$C$7),"Catastrófico","")))</f>
        <v>Catastrófico</v>
      </c>
      <c r="N175" s="307">
        <f>IF(M175="","",IF(M175="Leve",0.2,IF(M175="Menor",0.4,IF(M175="Moderado",0.6,IF(M175="Mayor",0.8,IF(M175="Catastrófico",1,))))))</f>
        <v>1</v>
      </c>
      <c r="O175" s="309" t="str">
        <f>IF(OR(AND(I175="Rara vez",M175="Leve"),AND(I175="Rara vez",M175="Menor"),AND(I175="Improbable",M175="Leve")),"Bajo",IF(OR(AND(I175="Rara vez",M175="Moderado"),AND(I175="Improbable",M175="Menor"),AND(I175="Improbable",M175="Moderado"),AND(I175="Posible",M175="Leve"),AND(I175="Posible",M175="Menor"),AND(I175="Posible",M175="Moderado"),AND(I175="Probable",M175="Leve"),AND(I175="Probable",M175="Menor")),"Moderado",IF(OR(AND(I175="Rara vez",M175="Mayor"),AND(I175="Improbable",M175="Mayor"),AND(I175="Posible",M175="Mayor"),AND(I175="Probable",M175="Moderado"),AND(I175="Probable",M175="Mayor"),AND(I175="Casi Seguro",M175="Leve"),AND(I175="Casi Seguro",M175="Menor"),AND(I175="Casi Seguro",M175="Moderado"),AND(I175="Casi Seguro",M175="Mayor")),"Alto",IF(OR(AND(I175="Rara vez",M175="Catastrófico"),AND(I175="Improbable",M175="Catastrófico"),AND(I175="Posible",M175="Catastrófico"),AND(I175="Probable",M175="Catastrófico"),AND(I175="Casi Seguro",M175="Catastrófico")),"Extremo",""))))</f>
        <v>Extremo</v>
      </c>
      <c r="P175" s="168">
        <v>1</v>
      </c>
      <c r="Q175" s="129" t="s">
        <v>389</v>
      </c>
      <c r="R175" s="169" t="str">
        <f>IF(OR(S175="Preventivo",S175="Detectivo"),"Probabilidad",IF(S175="Correctivo","Impacto",""))</f>
        <v>Probabilidad</v>
      </c>
      <c r="S175" s="170" t="s">
        <v>112</v>
      </c>
      <c r="T175" s="170" t="s">
        <v>113</v>
      </c>
      <c r="U175" s="171" t="str">
        <f>IF(AND(S175="Preventivo",T175="Automático"),"50%",IF(AND(S175="Preventivo",T175="Manual"),"40%",IF(AND(S175="Detectivo",T175="Automático"),"40%",IF(AND(S175="Detectivo",T175="Manual"),"30%",IF(AND(S175="Correctivo",T175="Automático"),"35%",IF(AND(S175="Correctivo",T175="Manual"),"25%",""))))))</f>
        <v>40%</v>
      </c>
      <c r="V175" s="170" t="s">
        <v>114</v>
      </c>
      <c r="W175" s="170" t="s">
        <v>115</v>
      </c>
      <c r="X175" s="170" t="s">
        <v>134</v>
      </c>
      <c r="Y175" s="172">
        <f>IFERROR(IF(R175="Probabilidad",(J175-(+J175*U175)),IF(R175="Impacto",J175,"")),"")</f>
        <v>0.12</v>
      </c>
      <c r="Z175" s="173" t="str">
        <f>IFERROR(IF(Y175="","",IF(Y175&lt;=0.2,"Rara vez",IF(Y175&lt;=0.4,"Improbable",IF(Y175&lt;=0.6,"Posible",IF(Y175&lt;=0.8,"Probable","Casi Seguro"))))),"")</f>
        <v>Rara vez</v>
      </c>
      <c r="AA175" s="171">
        <f>+Y175</f>
        <v>0.12</v>
      </c>
      <c r="AB175" s="173" t="str">
        <f>IFERROR(IF(AC175="","",IF(AC175&lt;=0.6,"Moderado",IF(AC175&lt;=0.8,"Mayor","Catastrófico"))),"")</f>
        <v>Catastrófico</v>
      </c>
      <c r="AC175" s="171">
        <f>IFERROR(IF(R175="Impacto",(N175-(+N175*U175)),IF(R175="Probabilidad",N175,"")),"")</f>
        <v>1</v>
      </c>
      <c r="AD175" s="174" t="str">
        <f>IFERROR(IF(OR(AND(Z175="Rara vez",AB175="Leve"),AND(Z175="Rara vez",AB175="Menor"),AND(Z175="Improbable",AB175="Leve")),"Bajo",IF(OR(AND(Z175="Rara vez",AB175="Moderado"),AND(Z175="Improbable",AB175="Menor"),AND(Z175="Improbable",AB175="Moderado"),AND(Z175="Posible",AB175="Leve"),AND(Z175="Posible",AB175="Menor"),AND(Z175="Posible",AB175="Moderado"),AND(Z175="Probable",AB175="Leve"),AND(Z175="Probable",AB175="Menor")),"Moderado",IF(OR(AND(Z175="Rara vez",AB175="Mayor"),AND(Z175="Improbable",AB175="Mayor"),AND(Z175="Posible",AB175="Mayor"),AND(Z175="Probable",AB175="Moderado"),AND(Z175="Probable",AB175="Mayor"),AND(Z175="Casi Seguro",AB175="Leve"),AND(Z175="Casi Seguro",AB175="Menor"),AND(Z175="Casi Seguro",AB175="Moderado"),AND(Z175="Casi Seguro",AB175="Mayor")),"Alto",IF(OR(AND(Z175="Rara vez",AB175="Catastrófico"),AND(Z175="Improbable",AB175="Catastrófico"),AND(Z175="Posible",AB175="Catastrófico"),AND(Z175="Probable",AB175="Catastrófico"),AND(Z175="Casi Seguro",AB175="Catastrófico")),"Extremo","")))),"")</f>
        <v>Extremo</v>
      </c>
      <c r="AE175" s="170"/>
      <c r="AF175" s="123"/>
      <c r="AG175" s="123"/>
      <c r="AH175" s="175"/>
      <c r="AI175" s="176"/>
      <c r="AJ175" s="177"/>
      <c r="AK175" s="522"/>
      <c r="AL175" s="534"/>
      <c r="AM175" s="534"/>
      <c r="AN175" s="534"/>
      <c r="AO175" s="534"/>
      <c r="AP175" s="534"/>
      <c r="AQ175" s="534"/>
      <c r="AR175" s="534"/>
      <c r="AS175" s="178"/>
      <c r="AT175" s="178"/>
      <c r="AU175" s="178"/>
      <c r="AV175" s="178"/>
      <c r="AW175" s="178"/>
      <c r="AX175" s="178"/>
      <c r="AY175" s="178"/>
      <c r="AZ175" s="178"/>
      <c r="BA175" s="178"/>
      <c r="BB175" s="178"/>
      <c r="BC175" s="178"/>
      <c r="BD175" s="178"/>
      <c r="BE175" s="178"/>
      <c r="BF175" s="178"/>
      <c r="BG175" s="178"/>
      <c r="BH175" s="178"/>
      <c r="BI175" s="178"/>
      <c r="BJ175" s="178"/>
    </row>
    <row r="176" spans="2:62" ht="102" x14ac:dyDescent="0.2">
      <c r="B176" s="314"/>
      <c r="C176" s="316"/>
      <c r="D176" s="317"/>
      <c r="E176" s="313"/>
      <c r="F176" s="313"/>
      <c r="G176" s="304"/>
      <c r="H176" s="305"/>
      <c r="I176" s="306"/>
      <c r="J176" s="307"/>
      <c r="K176" s="308"/>
      <c r="L176" s="307">
        <f>IF(NOT(ISERROR(MATCH(K176,_xlfn.ANCHORARRAY(G402),0))),J404&amp;"Por favor no seleccionar los criterios de impacto",K176)</f>
        <v>0</v>
      </c>
      <c r="M176" s="306"/>
      <c r="N176" s="307"/>
      <c r="O176" s="309"/>
      <c r="P176" s="168">
        <v>2</v>
      </c>
      <c r="Q176" s="138" t="s">
        <v>390</v>
      </c>
      <c r="R176" s="169" t="str">
        <f>IF(OR(S176="Preventivo",S176="Detectivo"),"Probabilidad",IF(S176="Correctivo","Impacto",""))</f>
        <v>Probabilidad</v>
      </c>
      <c r="S176" s="170" t="s">
        <v>112</v>
      </c>
      <c r="T176" s="170" t="s">
        <v>113</v>
      </c>
      <c r="U176" s="171" t="str">
        <f t="shared" ref="U176:U179" si="269">IF(AND(S176="Preventivo",T176="Automático"),"50%",IF(AND(S176="Preventivo",T176="Manual"),"40%",IF(AND(S176="Detectivo",T176="Automático"),"40%",IF(AND(S176="Detectivo",T176="Manual"),"30%",IF(AND(S176="Correctivo",T176="Automático"),"35%",IF(AND(S176="Correctivo",T176="Manual"),"25%",""))))))</f>
        <v>40%</v>
      </c>
      <c r="V176" s="170" t="s">
        <v>119</v>
      </c>
      <c r="W176" s="170" t="s">
        <v>115</v>
      </c>
      <c r="X176" s="170" t="s">
        <v>134</v>
      </c>
      <c r="Y176" s="172">
        <f>IFERROR(IF(AND(R175="Probabilidad",R176="Probabilidad"),(AA175-(+AA175*U176)),IF(R176="Probabilidad",(J175-(+J175*U176)),IF(R176="Impacto",AA175,""))),"")</f>
        <v>7.1999999999999995E-2</v>
      </c>
      <c r="Z176" s="173" t="str">
        <f t="shared" ref="Z176:Z179" si="270">IFERROR(IF(Y176="","",IF(Y176&lt;=0.2,"Rara vez",IF(Y176&lt;=0.4,"Improbable",IF(Y176&lt;=0.6,"Posible",IF(Y176&lt;=0.8,"Probable","Casi Seguro"))))),"")</f>
        <v>Rara vez</v>
      </c>
      <c r="AA176" s="171">
        <f t="shared" ref="AA176:AA179" si="271">+Y176</f>
        <v>7.1999999999999995E-2</v>
      </c>
      <c r="AB176" s="173" t="str">
        <f t="shared" ref="AB176:AB179" si="272">IFERROR(IF(AC176="","",IF(AC176&lt;=0.6,"Moderado",IF(AC176&lt;=0.8,"Mayor","Catastrófico"))),"")</f>
        <v>Catastrófico</v>
      </c>
      <c r="AC176" s="171">
        <f>IFERROR(IF(AND(R175="Impacto",R176="Impacto"),(AC175-(+AC175*U176)),IF(R176="Impacto",(N175-(+N175*U176)),IF(R176="Probabilidad",AC175,""))),"")</f>
        <v>1</v>
      </c>
      <c r="AD176" s="174" t="str">
        <f>IFERROR(IF(OR(AND(Z176="Rara vez",AB176="Leve"),AND(Z176="Rara vez",AB176="Menor"),AND(Z176="Improbable",AB176="Leve")),"Bajo",IF(OR(AND(Z176="Rara vez",AB176="Moderado"),AND(Z176="Improbable",AB176="Menor"),AND(Z176="Improbable",AB176="Moderado"),AND(Z176="Posible",AB176="Leve"),AND(Z176="Posible",AB176="Menor"),AND(Z176="Posible",AB176="Moderado"),AND(Z176="Probable",AB176="Leve"),AND(Z176="Probable",AB176="Menor")),"Moderado",IF(OR(AND(Z176="Rara vez",AB176="Mayor"),AND(Z176="Improbable",AB176="Mayor"),AND(Z176="Posible",AB176="Mayor"),AND(Z176="Probable",AB176="Moderado"),AND(Z176="Probable",AB176="Mayor"),AND(Z176="Casi Seguro",AB176="Leve"),AND(Z176="Casi Seguro",AB176="Menor"),AND(Z176="Casi Seguro",AB176="Moderado"),AND(Z176="Casi Seguro",AB176="Mayor")),"Alto",IF(OR(AND(Z176="Rara vez",AB176="Catastrófico"),AND(Z176="Improbable",AB176="Catastrófico"),AND(Z176="Posible",AB176="Catastrófico"),AND(Z176="Probable",AB176="Catastrófico"),AND(Z176="Casi Seguro",AB176="Catastrófico")),"Extremo","")))),"")</f>
        <v>Extremo</v>
      </c>
      <c r="AE176" s="170"/>
      <c r="AF176" s="132"/>
      <c r="AG176" s="194"/>
      <c r="AH176" s="195"/>
      <c r="AI176" s="176"/>
      <c r="AJ176" s="181"/>
      <c r="AK176" s="522"/>
      <c r="AL176" s="535"/>
      <c r="AM176" s="535"/>
      <c r="AN176" s="535"/>
      <c r="AO176" s="535"/>
      <c r="AP176" s="535"/>
      <c r="AQ176" s="535"/>
      <c r="AR176" s="535"/>
      <c r="AS176" s="158"/>
      <c r="AT176" s="158"/>
      <c r="AU176" s="158"/>
      <c r="AV176" s="158"/>
      <c r="AW176" s="158"/>
      <c r="AX176" s="158"/>
      <c r="AY176" s="158"/>
      <c r="AZ176" s="158"/>
      <c r="BA176" s="158"/>
      <c r="BB176" s="158"/>
      <c r="BC176" s="158"/>
      <c r="BD176" s="158"/>
      <c r="BE176" s="158"/>
      <c r="BF176" s="158"/>
      <c r="BG176" s="158"/>
      <c r="BH176" s="158"/>
      <c r="BI176" s="158"/>
      <c r="BJ176" s="158"/>
    </row>
    <row r="177" spans="2:62" ht="102" x14ac:dyDescent="0.2">
      <c r="B177" s="314"/>
      <c r="C177" s="316"/>
      <c r="D177" s="317"/>
      <c r="E177" s="313"/>
      <c r="F177" s="313"/>
      <c r="G177" s="304"/>
      <c r="H177" s="305"/>
      <c r="I177" s="306"/>
      <c r="J177" s="307"/>
      <c r="K177" s="308"/>
      <c r="L177" s="307">
        <f>IF(NOT(ISERROR(MATCH(K177,_xlfn.ANCHORARRAY(G403),0))),J405&amp;"Por favor no seleccionar los criterios de impacto",K177)</f>
        <v>0</v>
      </c>
      <c r="M177" s="306"/>
      <c r="N177" s="307"/>
      <c r="O177" s="309"/>
      <c r="P177" s="168">
        <v>3</v>
      </c>
      <c r="Q177" s="140" t="s">
        <v>391</v>
      </c>
      <c r="R177" s="169" t="s">
        <v>118</v>
      </c>
      <c r="S177" s="170" t="s">
        <v>112</v>
      </c>
      <c r="T177" s="170" t="s">
        <v>113</v>
      </c>
      <c r="U177" s="171" t="str">
        <f t="shared" si="269"/>
        <v>40%</v>
      </c>
      <c r="V177" s="170" t="s">
        <v>119</v>
      </c>
      <c r="W177" s="170" t="s">
        <v>115</v>
      </c>
      <c r="X177" s="170" t="s">
        <v>134</v>
      </c>
      <c r="Y177" s="172">
        <f>IFERROR(IF(AND(R176="Probabilidad",R177="Probabilidad"),(AA176-(+AA176*U177)),IF(AND(R176="Impacto",R177="Probabilidad"),(AA175-(+AA175*U177)),IF(R177="Impacto",AA176,""))),"")</f>
        <v>4.3199999999999995E-2</v>
      </c>
      <c r="Z177" s="173" t="str">
        <f t="shared" si="270"/>
        <v>Rara vez</v>
      </c>
      <c r="AA177" s="171">
        <f t="shared" si="271"/>
        <v>4.3199999999999995E-2</v>
      </c>
      <c r="AB177" s="173" t="str">
        <f t="shared" si="272"/>
        <v>Catastrófico</v>
      </c>
      <c r="AC177" s="171">
        <f>IFERROR(IF(AND(R176="Impacto",R177="Impacto"),(AC176-(+AC176*U177)),IF(AND(R176="Probabilidad",R177="Impacto"),(AC175-(+AC175*U177)),IF(R177="Probabilidad",AC176,""))),"")</f>
        <v>1</v>
      </c>
      <c r="AD177" s="174" t="str">
        <f>IFERROR(IF(OR(AND(Z177="Rara vez",AB177="Leve"),AND(Z177="Rara vez",AB177="Menor"),AND(Z177="Improbable",AB177="Leve")),"Bajo",IF(OR(AND(Z177="Rara vez",AB177="Moderado"),AND(Z177="Improbable",AB177="Menor"),AND(Z177="Improbable",AB177="Moderado"),AND(Z177="Posible",AB177="Leve"),AND(Z177="Posible",AB177="Menor"),AND(Z177="Posible",AB177="Moderado"),AND(Z177="Probable",AB177="Leve"),AND(Z177="Probable",AB177="Menor")),"Moderado",IF(OR(AND(Z177="Rara vez",AB177="Mayor"),AND(Z177="Improbable",AB177="Mayor"),AND(Z177="Posible",AB177="Mayor"),AND(Z177="Probable",AB177="Moderado"),AND(Z177="Probable",AB177="Mayor"),AND(Z177="Casi Seguro",AB177="Leve"),AND(Z177="Casi Seguro",AB177="Menor"),AND(Z177="Casi Seguro",AB177="Moderado"),AND(Z177="Casi Seguro",AB177="Mayor")),"Alto",IF(OR(AND(Z177="Rara vez",AB177="Catastrófico"),AND(Z177="Improbable",AB177="Catastrófico"),AND(Z177="Posible",AB177="Catastrófico"),AND(Z177="Probable",AB177="Catastrófico"),AND(Z177="Casi Seguro",AB177="Catastrófico")),"Extremo","")))),"")</f>
        <v>Extremo</v>
      </c>
      <c r="AE177" s="196"/>
      <c r="AF177" s="136"/>
      <c r="AG177" s="137"/>
      <c r="AH177" s="131"/>
      <c r="AI177" s="187"/>
      <c r="AJ177" s="188"/>
      <c r="AK177" s="523"/>
      <c r="AL177" s="535"/>
      <c r="AM177" s="535"/>
      <c r="AN177" s="535"/>
      <c r="AO177" s="535"/>
      <c r="AP177" s="535"/>
      <c r="AQ177" s="535"/>
      <c r="AR177" s="535"/>
      <c r="AS177" s="158"/>
      <c r="AT177" s="158"/>
      <c r="AU177" s="158"/>
      <c r="AV177" s="158"/>
      <c r="AW177" s="158"/>
      <c r="AX177" s="158"/>
      <c r="AY177" s="158"/>
      <c r="AZ177" s="158"/>
      <c r="BA177" s="158"/>
      <c r="BB177" s="158"/>
      <c r="BC177" s="158"/>
      <c r="BD177" s="158"/>
      <c r="BE177" s="158"/>
      <c r="BF177" s="158"/>
      <c r="BG177" s="158"/>
      <c r="BH177" s="158"/>
      <c r="BI177" s="158"/>
      <c r="BJ177" s="158"/>
    </row>
    <row r="178" spans="2:62" ht="76.5" x14ac:dyDescent="0.2">
      <c r="B178" s="314"/>
      <c r="C178" s="316"/>
      <c r="D178" s="317"/>
      <c r="E178" s="313"/>
      <c r="F178" s="313"/>
      <c r="G178" s="304"/>
      <c r="H178" s="305"/>
      <c r="I178" s="306"/>
      <c r="J178" s="307"/>
      <c r="K178" s="308"/>
      <c r="L178" s="307">
        <f>IF(NOT(ISERROR(MATCH(K178,_xlfn.ANCHORARRAY(G404),0))),J406&amp;"Por favor no seleccionar los criterios de impacto",K178)</f>
        <v>0</v>
      </c>
      <c r="M178" s="306"/>
      <c r="N178" s="307"/>
      <c r="O178" s="309"/>
      <c r="P178" s="168">
        <v>4</v>
      </c>
      <c r="Q178" s="129" t="s">
        <v>392</v>
      </c>
      <c r="R178" s="169" t="s">
        <v>118</v>
      </c>
      <c r="S178" s="170" t="s">
        <v>112</v>
      </c>
      <c r="T178" s="170" t="s">
        <v>113</v>
      </c>
      <c r="U178" s="171" t="str">
        <f t="shared" si="269"/>
        <v>40%</v>
      </c>
      <c r="V178" s="170" t="s">
        <v>119</v>
      </c>
      <c r="W178" s="170" t="s">
        <v>115</v>
      </c>
      <c r="X178" s="170" t="s">
        <v>134</v>
      </c>
      <c r="Y178" s="172">
        <f t="shared" ref="Y178:Y179" si="273">IFERROR(IF(AND(R177="Probabilidad",R178="Probabilidad"),(AA177-(+AA177*U178)),IF(AND(R177="Impacto",R178="Probabilidad"),(AA176-(+AA176*U178)),IF(R178="Impacto",AA177,""))),"")</f>
        <v>2.5919999999999995E-2</v>
      </c>
      <c r="Z178" s="173" t="str">
        <f t="shared" si="270"/>
        <v>Rara vez</v>
      </c>
      <c r="AA178" s="171">
        <f t="shared" si="271"/>
        <v>2.5919999999999995E-2</v>
      </c>
      <c r="AB178" s="173" t="str">
        <f t="shared" si="272"/>
        <v>Catastrófico</v>
      </c>
      <c r="AC178" s="171">
        <f t="shared" ref="AC178:AC179" si="274">IFERROR(IF(AND(R177="Impacto",R178="Impacto"),(AC177-(+AC177*U178)),IF(AND(R177="Probabilidad",R178="Impacto"),(AC176-(+AC176*U178)),IF(R178="Probabilidad",AC177,""))),"")</f>
        <v>1</v>
      </c>
      <c r="AD178" s="174" t="str">
        <f t="shared" ref="AD178:AD179" si="275">IFERROR(IF(OR(AND(Z178="Rara vez",AB178="Leve"),AND(Z178="Rara vez",AB178="Menor"),AND(Z178="Improbable",AB178="Leve")),"Bajo",IF(OR(AND(Z178="Rara vez",AB178="Moderado"),AND(Z178="Improbable",AB178="Menor"),AND(Z178="Improbable",AB178="Moderado"),AND(Z178="Posible",AB178="Leve"),AND(Z178="Posible",AB178="Menor"),AND(Z178="Posible",AB178="Moderado"),AND(Z178="Probable",AB178="Leve"),AND(Z178="Probable",AB178="Menor")),"Moderado",IF(OR(AND(Z178="Rara vez",AB178="Mayor"),AND(Z178="Improbable",AB178="Mayor"),AND(Z178="Posible",AB178="Mayor"),AND(Z178="Probable",AB178="Moderado"),AND(Z178="Probable",AB178="Mayor"),AND(Z178="Casi Seguro",AB178="Leve"),AND(Z178="Casi Seguro",AB178="Menor"),AND(Z178="Casi Seguro",AB178="Moderado"),AND(Z178="Casi Seguro",AB178="Mayor")),"Alto",IF(OR(AND(Z178="Rara vez",AB178="Catastrófico"),AND(Z178="Improbable",AB178="Catastrófico"),AND(Z178="Posible",AB178="Catastrófico"),AND(Z178="Probable",AB178="Catastrófico"),AND(Z178="Casi Seguro",AB178="Catastrófico")),"Extremo","")))),"")</f>
        <v>Extremo</v>
      </c>
      <c r="AE178" s="170"/>
      <c r="AF178" s="136"/>
      <c r="AG178" s="203"/>
      <c r="AH178" s="202"/>
      <c r="AI178" s="136"/>
      <c r="AJ178" s="200"/>
      <c r="AK178" s="525"/>
      <c r="AL178" s="535"/>
      <c r="AM178" s="535"/>
      <c r="AN178" s="535"/>
      <c r="AO178" s="535"/>
      <c r="AP178" s="535"/>
      <c r="AQ178" s="535"/>
      <c r="AR178" s="535"/>
      <c r="AS178" s="158"/>
      <c r="AT178" s="158"/>
      <c r="AU178" s="158"/>
      <c r="AV178" s="158"/>
      <c r="AW178" s="158"/>
      <c r="AX178" s="158"/>
      <c r="AY178" s="158"/>
      <c r="AZ178" s="158"/>
      <c r="BA178" s="158"/>
      <c r="BB178" s="158"/>
      <c r="BC178" s="158"/>
      <c r="BD178" s="158"/>
      <c r="BE178" s="158"/>
      <c r="BF178" s="158"/>
      <c r="BG178" s="158"/>
      <c r="BH178" s="158"/>
      <c r="BI178" s="158"/>
      <c r="BJ178" s="158"/>
    </row>
    <row r="179" spans="2:62" ht="127.5" x14ac:dyDescent="0.2">
      <c r="B179" s="314"/>
      <c r="C179" s="316"/>
      <c r="D179" s="317"/>
      <c r="E179" s="313"/>
      <c r="F179" s="313"/>
      <c r="G179" s="304"/>
      <c r="H179" s="305"/>
      <c r="I179" s="306"/>
      <c r="J179" s="307"/>
      <c r="K179" s="308"/>
      <c r="L179" s="307">
        <f>IF(NOT(ISERROR(MATCH(K179,_xlfn.ANCHORARRAY(G405),0))),J407&amp;"Por favor no seleccionar los criterios de impacto",K179)</f>
        <v>0</v>
      </c>
      <c r="M179" s="306"/>
      <c r="N179" s="307"/>
      <c r="O179" s="309"/>
      <c r="P179" s="168">
        <v>5</v>
      </c>
      <c r="Q179" s="129" t="s">
        <v>393</v>
      </c>
      <c r="R179" s="169" t="s">
        <v>118</v>
      </c>
      <c r="S179" s="170" t="s">
        <v>133</v>
      </c>
      <c r="T179" s="170" t="s">
        <v>113</v>
      </c>
      <c r="U179" s="171" t="str">
        <f t="shared" si="269"/>
        <v>30%</v>
      </c>
      <c r="V179" s="170" t="s">
        <v>114</v>
      </c>
      <c r="W179" s="170" t="s">
        <v>115</v>
      </c>
      <c r="X179" s="170" t="s">
        <v>134</v>
      </c>
      <c r="Y179" s="172">
        <f t="shared" si="273"/>
        <v>1.8143999999999997E-2</v>
      </c>
      <c r="Z179" s="173" t="str">
        <f t="shared" si="270"/>
        <v>Rara vez</v>
      </c>
      <c r="AA179" s="171">
        <f t="shared" si="271"/>
        <v>1.8143999999999997E-2</v>
      </c>
      <c r="AB179" s="173" t="str">
        <f t="shared" si="272"/>
        <v>Catastrófico</v>
      </c>
      <c r="AC179" s="171">
        <f t="shared" si="274"/>
        <v>1</v>
      </c>
      <c r="AD179" s="174" t="str">
        <f t="shared" si="275"/>
        <v>Extremo</v>
      </c>
      <c r="AE179" s="170" t="s">
        <v>120</v>
      </c>
      <c r="AF179" s="136" t="s">
        <v>394</v>
      </c>
      <c r="AG179" s="136" t="s">
        <v>395</v>
      </c>
      <c r="AH179" s="202">
        <v>46022</v>
      </c>
      <c r="AI179" s="202"/>
      <c r="AJ179" s="136"/>
      <c r="AK179" s="525" t="s">
        <v>123</v>
      </c>
      <c r="AL179" s="535"/>
      <c r="AM179" s="535"/>
      <c r="AN179" s="535"/>
      <c r="AO179" s="535"/>
      <c r="AP179" s="535"/>
      <c r="AQ179" s="535"/>
      <c r="AR179" s="535"/>
      <c r="AS179" s="158"/>
      <c r="AT179" s="158"/>
      <c r="AU179" s="158"/>
      <c r="AV179" s="158"/>
      <c r="AW179" s="158"/>
      <c r="AX179" s="158"/>
      <c r="AY179" s="158"/>
      <c r="AZ179" s="158"/>
      <c r="BA179" s="158"/>
      <c r="BB179" s="158"/>
      <c r="BC179" s="158"/>
      <c r="BD179" s="158"/>
      <c r="BE179" s="158"/>
      <c r="BF179" s="158"/>
      <c r="BG179" s="158"/>
      <c r="BH179" s="158"/>
      <c r="BI179" s="158"/>
      <c r="BJ179" s="158"/>
    </row>
    <row r="180" spans="2:62" x14ac:dyDescent="0.2">
      <c r="B180" s="314"/>
      <c r="C180" s="320"/>
      <c r="D180" s="317"/>
      <c r="E180" s="313"/>
      <c r="F180" s="313"/>
      <c r="G180" s="304"/>
      <c r="H180" s="305"/>
      <c r="I180" s="306"/>
      <c r="J180" s="307"/>
      <c r="K180" s="308"/>
      <c r="L180" s="307">
        <f>IF(NOT(ISERROR(MATCH(K180,_xlfn.ANCHORARRAY(G406),0))),J408&amp;"Por favor no seleccionar los criterios de impacto",K180)</f>
        <v>0</v>
      </c>
      <c r="M180" s="306"/>
      <c r="N180" s="307"/>
      <c r="O180" s="309"/>
      <c r="P180" s="168">
        <v>6</v>
      </c>
      <c r="Q180" s="139"/>
      <c r="R180" s="169"/>
      <c r="S180" s="170"/>
      <c r="T180" s="170"/>
      <c r="U180" s="171"/>
      <c r="V180" s="170"/>
      <c r="W180" s="170"/>
      <c r="X180" s="170"/>
      <c r="Y180" s="172"/>
      <c r="Z180" s="173"/>
      <c r="AA180" s="171"/>
      <c r="AB180" s="173"/>
      <c r="AC180" s="171"/>
      <c r="AD180" s="174"/>
      <c r="AE180" s="170"/>
      <c r="AF180" s="136"/>
      <c r="AG180" s="136"/>
      <c r="AH180" s="131"/>
      <c r="AI180" s="131"/>
      <c r="AJ180" s="177"/>
      <c r="AK180" s="523"/>
      <c r="AL180" s="535"/>
      <c r="AM180" s="535"/>
      <c r="AN180" s="535"/>
      <c r="AO180" s="535"/>
      <c r="AP180" s="535"/>
      <c r="AQ180" s="535"/>
      <c r="AR180" s="535"/>
      <c r="AS180" s="158"/>
      <c r="AT180" s="158"/>
      <c r="AU180" s="158"/>
      <c r="AV180" s="158"/>
      <c r="AW180" s="158"/>
      <c r="AX180" s="158"/>
      <c r="AY180" s="158"/>
      <c r="AZ180" s="158"/>
      <c r="BA180" s="158"/>
      <c r="BB180" s="158"/>
      <c r="BC180" s="158"/>
      <c r="BD180" s="158"/>
      <c r="BE180" s="158"/>
      <c r="BF180" s="158"/>
      <c r="BG180" s="158"/>
      <c r="BH180" s="158"/>
      <c r="BI180" s="158"/>
      <c r="BJ180" s="158"/>
    </row>
    <row r="181" spans="2:62" s="163" customFormat="1" ht="105" customHeight="1" x14ac:dyDescent="0.25">
      <c r="B181" s="314" t="s">
        <v>396</v>
      </c>
      <c r="C181" s="324" t="s">
        <v>385</v>
      </c>
      <c r="D181" s="317" t="s">
        <v>397</v>
      </c>
      <c r="E181" s="313" t="s">
        <v>127</v>
      </c>
      <c r="F181" s="313" t="s">
        <v>398</v>
      </c>
      <c r="G181" s="304" t="s">
        <v>399</v>
      </c>
      <c r="H181" s="305" t="s">
        <v>109</v>
      </c>
      <c r="I181" s="306" t="str">
        <f>IF(H181&lt;=0,"",IF(H181="No se ha presentado en los últimos 5 años","Rara vez",IF(H181="Al menos 1 vez en los últimos 5 años","Improbable",IF(H181="Al menos 1 vez en los últimos 2 años","Posible",IF(H181="Al menos 1 vez en el último año","Probable",IF(H181="Más de 1 vez al año","Casi Seguro"))))))</f>
        <v>Rara vez</v>
      </c>
      <c r="J181" s="307">
        <f>IF(I181="","",IF(I181="Rara vez",0.2,IF(I181="Improbable",0.4,IF(I181="Posible",0.6,IF(I181="Probable",0.8,IF(I181="Casi Seguro",1,))))))</f>
        <v>0.2</v>
      </c>
      <c r="K181" s="308" t="s">
        <v>131</v>
      </c>
      <c r="L181" s="307" t="str">
        <f>IF(NOT(ISERROR(MATCH(K181,'Tabla Impacto'!$B$220:$B$222,0))),'Tabla Impacto'!$F$222&amp;"Por favor no seleccionar los criterios de impacto(Criterios para calificar el impacto)",K181)</f>
        <v xml:space="preserve">Responder afirmativamente de DOCE a DIECINUEVE </v>
      </c>
      <c r="M181" s="306" t="str">
        <f>IF(OR(L181='Tabla Impacto'!$C$5),"Moderado",IF(OR(L181='Tabla Impacto'!$C$6),"Mayor",IF(OR(L181='Tabla Impacto'!$C$7),"Catastrófico","")))</f>
        <v>Catastrófico</v>
      </c>
      <c r="N181" s="307">
        <f>IF(M181="","",IF(M181="Leve",0.2,IF(M181="Menor",0.4,IF(M181="Moderado",0.6,IF(M181="Mayor",0.8,IF(M181="Catastrófico",1,))))))</f>
        <v>1</v>
      </c>
      <c r="O181" s="309" t="str">
        <f>IF(OR(AND(I181="Rara vez",M181="Leve"),AND(I181="Rara vez",M181="Menor"),AND(I181="Improbable",M181="Leve")),"Bajo",IF(OR(AND(I181="Rara vez",M181="Moderado"),AND(I181="Improbable",M181="Menor"),AND(I181="Improbable",M181="Moderado"),AND(I181="Posible",M181="Leve"),AND(I181="Posible",M181="Menor"),AND(I181="Posible",M181="Moderado"),AND(I181="Probable",M181="Leve"),AND(I181="Probable",M181="Menor")),"Moderado",IF(OR(AND(I181="Rara vez",M181="Mayor"),AND(I181="Improbable",M181="Mayor"),AND(I181="Posible",M181="Mayor"),AND(I181="Probable",M181="Moderado"),AND(I181="Probable",M181="Mayor"),AND(I181="Casi Seguro",M181="Leve"),AND(I181="Casi Seguro",M181="Menor"),AND(I181="Casi Seguro",M181="Moderado"),AND(I181="Casi Seguro",M181="Mayor")),"Alto",IF(OR(AND(I181="Rara vez",M181="Catastrófico"),AND(I181="Improbable",M181="Catastrófico"),AND(I181="Posible",M181="Catastrófico"),AND(I181="Probable",M181="Catastrófico"),AND(I181="Casi Seguro",M181="Catastrófico")),"Extremo",""))))</f>
        <v>Extremo</v>
      </c>
      <c r="P181" s="168">
        <v>1</v>
      </c>
      <c r="Q181" s="129" t="s">
        <v>400</v>
      </c>
      <c r="R181" s="169" t="str">
        <f>IF(OR(S181="Preventivo",S181="Detectivo"),"Probabilidad",IF(S181="Correctivo","Impacto",""))</f>
        <v>Probabilidad</v>
      </c>
      <c r="S181" s="170" t="s">
        <v>112</v>
      </c>
      <c r="T181" s="170" t="s">
        <v>113</v>
      </c>
      <c r="U181" s="171" t="str">
        <f>IF(AND(S181="Preventivo",T181="Automático"),"50%",IF(AND(S181="Preventivo",T181="Manual"),"40%",IF(AND(S181="Detectivo",T181="Automático"),"40%",IF(AND(S181="Detectivo",T181="Manual"),"30%",IF(AND(S181="Correctivo",T181="Automático"),"35%",IF(AND(S181="Correctivo",T181="Manual"),"25%",""))))))</f>
        <v>40%</v>
      </c>
      <c r="V181" s="170" t="s">
        <v>114</v>
      </c>
      <c r="W181" s="170" t="s">
        <v>319</v>
      </c>
      <c r="X181" s="170" t="s">
        <v>134</v>
      </c>
      <c r="Y181" s="172">
        <f>IFERROR(IF(R181="Probabilidad",(J181-(+J181*U181)),IF(R181="Impacto",J181,"")),"")</f>
        <v>0.12</v>
      </c>
      <c r="Z181" s="173" t="str">
        <f>IFERROR(IF(Y181="","",IF(Y181&lt;=0.2,"Rara vez",IF(Y181&lt;=0.4,"Improbable",IF(Y181&lt;=0.6,"Posible",IF(Y181&lt;=0.8,"Probable","Casi Seguro"))))),"")</f>
        <v>Rara vez</v>
      </c>
      <c r="AA181" s="171">
        <f>+Y181</f>
        <v>0.12</v>
      </c>
      <c r="AB181" s="173" t="str">
        <f>IFERROR(IF(AC181="","",IF(AC181&lt;=0.6,"Moderado",IF(AC181&lt;=0.8,"Mayor","Catastrófico"))),"")</f>
        <v>Catastrófico</v>
      </c>
      <c r="AC181" s="171">
        <f>IFERROR(IF(R181="Impacto",(N181-(+N181*U181)),IF(R181="Probabilidad",N181,"")),"")</f>
        <v>1</v>
      </c>
      <c r="AD181" s="174" t="str">
        <f>IFERROR(IF(OR(AND(Z181="Rara vez",AB181="Leve"),AND(Z181="Rara vez",AB181="Menor"),AND(Z181="Improbable",AB181="Leve")),"Bajo",IF(OR(AND(Z181="Rara vez",AB181="Moderado"),AND(Z181="Improbable",AB181="Menor"),AND(Z181="Improbable",AB181="Moderado"),AND(Z181="Posible",AB181="Leve"),AND(Z181="Posible",AB181="Menor"),AND(Z181="Posible",AB181="Moderado"),AND(Z181="Probable",AB181="Leve"),AND(Z181="Probable",AB181="Menor")),"Moderado",IF(OR(AND(Z181="Rara vez",AB181="Mayor"),AND(Z181="Improbable",AB181="Mayor"),AND(Z181="Posible",AB181="Mayor"),AND(Z181="Probable",AB181="Moderado"),AND(Z181="Probable",AB181="Mayor"),AND(Z181="Casi Seguro",AB181="Leve"),AND(Z181="Casi Seguro",AB181="Menor"),AND(Z181="Casi Seguro",AB181="Moderado"),AND(Z181="Casi Seguro",AB181="Mayor")),"Alto",IF(OR(AND(Z181="Rara vez",AB181="Catastrófico"),AND(Z181="Improbable",AB181="Catastrófico"),AND(Z181="Posible",AB181="Catastrófico"),AND(Z181="Probable",AB181="Catastrófico"),AND(Z181="Casi Seguro",AB181="Catastrófico")),"Extremo","")))),"")</f>
        <v>Extremo</v>
      </c>
      <c r="AE181" s="170"/>
      <c r="AF181" s="123"/>
      <c r="AG181" s="123"/>
      <c r="AH181" s="175"/>
      <c r="AI181" s="176"/>
      <c r="AJ181" s="177"/>
      <c r="AK181" s="529"/>
      <c r="AL181" s="534"/>
      <c r="AM181" s="534"/>
      <c r="AN181" s="534"/>
      <c r="AO181" s="534"/>
      <c r="AP181" s="534"/>
      <c r="AQ181" s="534"/>
      <c r="AR181" s="534"/>
      <c r="AS181" s="178"/>
      <c r="AT181" s="178"/>
      <c r="AU181" s="178"/>
      <c r="AV181" s="178"/>
      <c r="AW181" s="178"/>
      <c r="AX181" s="178"/>
      <c r="AY181" s="178"/>
      <c r="AZ181" s="178"/>
      <c r="BA181" s="178"/>
      <c r="BB181" s="178"/>
      <c r="BC181" s="178"/>
      <c r="BD181" s="178"/>
      <c r="BE181" s="178"/>
      <c r="BF181" s="178"/>
      <c r="BG181" s="178"/>
      <c r="BH181" s="178"/>
      <c r="BI181" s="178"/>
      <c r="BJ181" s="178"/>
    </row>
    <row r="182" spans="2:62" ht="102" x14ac:dyDescent="0.2">
      <c r="B182" s="314"/>
      <c r="C182" s="324"/>
      <c r="D182" s="317"/>
      <c r="E182" s="313"/>
      <c r="F182" s="313"/>
      <c r="G182" s="304"/>
      <c r="H182" s="305"/>
      <c r="I182" s="306"/>
      <c r="J182" s="307"/>
      <c r="K182" s="308"/>
      <c r="L182" s="307">
        <f>IF(NOT(ISERROR(MATCH(K182,_xlfn.ANCHORARRAY(G424),0))),J426&amp;"Por favor no seleccionar los criterios de impacto",K182)</f>
        <v>0</v>
      </c>
      <c r="M182" s="306"/>
      <c r="N182" s="307"/>
      <c r="O182" s="309"/>
      <c r="P182" s="168">
        <v>2</v>
      </c>
      <c r="Q182" s="129" t="s">
        <v>401</v>
      </c>
      <c r="R182" s="169" t="s">
        <v>136</v>
      </c>
      <c r="S182" s="182" t="s">
        <v>137</v>
      </c>
      <c r="T182" s="170" t="s">
        <v>113</v>
      </c>
      <c r="U182" s="171" t="str">
        <f t="shared" ref="U182:U185" si="276">IF(AND(S182="Preventivo",T182="Automático"),"50%",IF(AND(S182="Preventivo",T182="Manual"),"40%",IF(AND(S182="Detectivo",T182="Automático"),"40%",IF(AND(S182="Detectivo",T182="Manual"),"30%",IF(AND(S182="Correctivo",T182="Automático"),"35%",IF(AND(S182="Correctivo",T182="Manual"),"25%",""))))))</f>
        <v>25%</v>
      </c>
      <c r="V182" s="170" t="s">
        <v>119</v>
      </c>
      <c r="W182" s="170" t="s">
        <v>115</v>
      </c>
      <c r="X182" s="170" t="s">
        <v>134</v>
      </c>
      <c r="Y182" s="172">
        <f>IFERROR(IF(AND(R181="Probabilidad",R182="Probabilidad"),(AA181-(+AA181*U182)),IF(R182="Probabilidad",(J181-(+J181*U182)),IF(R182="Impacto",AA181,""))),"")</f>
        <v>0.12</v>
      </c>
      <c r="Z182" s="173" t="str">
        <f t="shared" ref="Z182:Z185" si="277">IFERROR(IF(Y182="","",IF(Y182&lt;=0.2,"Rara vez",IF(Y182&lt;=0.4,"Improbable",IF(Y182&lt;=0.6,"Posible",IF(Y182&lt;=0.8,"Probable","Casi Seguro"))))),"")</f>
        <v>Rara vez</v>
      </c>
      <c r="AA182" s="171">
        <f t="shared" ref="AA182:AA185" si="278">+Y182</f>
        <v>0.12</v>
      </c>
      <c r="AB182" s="173" t="str">
        <f t="shared" ref="AB182:AB185" si="279">IFERROR(IF(AC182="","",IF(AC182&lt;=0.6,"Moderado",IF(AC182&lt;=0.8,"Mayor","Catastrófico"))),"")</f>
        <v>Mayor</v>
      </c>
      <c r="AC182" s="171">
        <f>IFERROR(IF(AND(R181="Impacto",R182="Impacto"),(AC181-(+AC181*U182)),IF(R182="Impacto",(N181-(+N181*U182)),IF(R182="Probabilidad",AC181,""))),"")</f>
        <v>0.75</v>
      </c>
      <c r="AD182" s="174" t="str">
        <f>IFERROR(IF(OR(AND(Z182="Rara vez",AB182="Leve"),AND(Z182="Rara vez",AB182="Menor"),AND(Z182="Improbable",AB182="Leve")),"Bajo",IF(OR(AND(Z182="Rara vez",AB182="Moderado"),AND(Z182="Improbable",AB182="Menor"),AND(Z182="Improbable",AB182="Moderado"),AND(Z182="Posible",AB182="Leve"),AND(Z182="Posible",AB182="Menor"),AND(Z182="Posible",AB182="Moderado"),AND(Z182="Probable",AB182="Leve"),AND(Z182="Probable",AB182="Menor")),"Moderado",IF(OR(AND(Z182="Rara vez",AB182="Mayor"),AND(Z182="Improbable",AB182="Mayor"),AND(Z182="Posible",AB182="Mayor"),AND(Z182="Probable",AB182="Moderado"),AND(Z182="Probable",AB182="Mayor"),AND(Z182="Casi Seguro",AB182="Leve"),AND(Z182="Casi Seguro",AB182="Menor"),AND(Z182="Casi Seguro",AB182="Moderado"),AND(Z182="Casi Seguro",AB182="Mayor")),"Alto",IF(OR(AND(Z182="Rara vez",AB182="Catastrófico"),AND(Z182="Improbable",AB182="Catastrófico"),AND(Z182="Posible",AB182="Catastrófico"),AND(Z182="Probable",AB182="Catastrófico"),AND(Z182="Casi Seguro",AB182="Catastrófico")),"Extremo","")))),"")</f>
        <v>Alto</v>
      </c>
      <c r="AE182" s="170" t="s">
        <v>120</v>
      </c>
      <c r="AF182" s="152" t="s">
        <v>402</v>
      </c>
      <c r="AG182" s="152" t="s">
        <v>403</v>
      </c>
      <c r="AH182" s="205">
        <v>46022</v>
      </c>
      <c r="AI182" s="206"/>
      <c r="AJ182" s="200"/>
      <c r="AK182" s="528" t="s">
        <v>123</v>
      </c>
      <c r="AL182" s="535"/>
      <c r="AM182" s="535"/>
      <c r="AN182" s="535"/>
      <c r="AO182" s="535"/>
      <c r="AP182" s="535"/>
      <c r="AQ182" s="535"/>
      <c r="AR182" s="535"/>
      <c r="AS182" s="158"/>
      <c r="AT182" s="158"/>
      <c r="AU182" s="158"/>
      <c r="AV182" s="158"/>
      <c r="AW182" s="158"/>
      <c r="AX182" s="158"/>
      <c r="AY182" s="158"/>
      <c r="AZ182" s="158"/>
      <c r="BA182" s="158"/>
      <c r="BB182" s="158"/>
      <c r="BC182" s="158"/>
      <c r="BD182" s="158"/>
      <c r="BE182" s="158"/>
      <c r="BF182" s="158"/>
      <c r="BG182" s="158"/>
      <c r="BH182" s="158"/>
      <c r="BI182" s="158"/>
      <c r="BJ182" s="158"/>
    </row>
    <row r="183" spans="2:62" x14ac:dyDescent="0.2">
      <c r="B183" s="314"/>
      <c r="C183" s="324"/>
      <c r="D183" s="317"/>
      <c r="E183" s="313"/>
      <c r="F183" s="313"/>
      <c r="G183" s="304"/>
      <c r="H183" s="305"/>
      <c r="I183" s="306"/>
      <c r="J183" s="307"/>
      <c r="K183" s="308"/>
      <c r="L183" s="307">
        <f>IF(NOT(ISERROR(MATCH(K183,_xlfn.ANCHORARRAY(G425),0))),J427&amp;"Por favor no seleccionar los criterios de impacto",K183)</f>
        <v>0</v>
      </c>
      <c r="M183" s="306"/>
      <c r="N183" s="307"/>
      <c r="O183" s="309"/>
      <c r="P183" s="168">
        <v>3</v>
      </c>
      <c r="Q183" s="129"/>
      <c r="R183" s="169"/>
      <c r="S183" s="182"/>
      <c r="T183" s="170"/>
      <c r="U183" s="171"/>
      <c r="V183" s="170"/>
      <c r="W183" s="170"/>
      <c r="X183" s="170"/>
      <c r="Y183" s="172"/>
      <c r="Z183" s="173"/>
      <c r="AA183" s="171"/>
      <c r="AB183" s="173"/>
      <c r="AC183" s="171"/>
      <c r="AD183" s="174"/>
      <c r="AE183" s="196"/>
      <c r="AF183" s="184"/>
      <c r="AG183" s="184"/>
      <c r="AH183" s="186"/>
      <c r="AI183" s="187"/>
      <c r="AJ183" s="188"/>
      <c r="AK183" s="530"/>
      <c r="AL183" s="535"/>
      <c r="AM183" s="535"/>
      <c r="AN183" s="535"/>
      <c r="AO183" s="535"/>
      <c r="AP183" s="535"/>
      <c r="AQ183" s="535"/>
      <c r="AR183" s="535"/>
      <c r="AS183" s="158"/>
      <c r="AT183" s="158"/>
      <c r="AU183" s="158"/>
      <c r="AV183" s="158"/>
      <c r="AW183" s="158"/>
      <c r="AX183" s="158"/>
      <c r="AY183" s="158"/>
      <c r="AZ183" s="158"/>
      <c r="BA183" s="158"/>
      <c r="BB183" s="158"/>
      <c r="BC183" s="158"/>
      <c r="BD183" s="158"/>
      <c r="BE183" s="158"/>
      <c r="BF183" s="158"/>
      <c r="BG183" s="158"/>
      <c r="BH183" s="158"/>
      <c r="BI183" s="158"/>
      <c r="BJ183" s="158"/>
    </row>
    <row r="184" spans="2:62" x14ac:dyDescent="0.2">
      <c r="B184" s="314"/>
      <c r="C184" s="324"/>
      <c r="D184" s="317"/>
      <c r="E184" s="313"/>
      <c r="F184" s="313"/>
      <c r="G184" s="304"/>
      <c r="H184" s="305"/>
      <c r="I184" s="306"/>
      <c r="J184" s="307"/>
      <c r="K184" s="308"/>
      <c r="L184" s="307">
        <f>IF(NOT(ISERROR(MATCH(K184,_xlfn.ANCHORARRAY(G427),0))),J429&amp;"Por favor no seleccionar los criterios de impacto",K184)</f>
        <v>0</v>
      </c>
      <c r="M184" s="306"/>
      <c r="N184" s="307"/>
      <c r="O184" s="309"/>
      <c r="P184" s="168"/>
      <c r="R184" s="169" t="str">
        <f t="shared" ref="R184:R185" si="280">IF(OR(S184="Preventivo",S184="Detectivo"),"Probabilidad",IF(S184="Correctivo","Impacto",""))</f>
        <v/>
      </c>
      <c r="S184" s="170"/>
      <c r="T184" s="170"/>
      <c r="U184" s="171" t="str">
        <f t="shared" si="276"/>
        <v/>
      </c>
      <c r="V184" s="170"/>
      <c r="W184" s="170"/>
      <c r="X184" s="170"/>
      <c r="Y184" s="172" t="str">
        <f>IFERROR(IF(AND(#REF!="Probabilidad",R184="Probabilidad"),(#REF!-(+#REF!*U184)),IF(AND(#REF!="Impacto",R184="Probabilidad"),(AA183-(+AA183*U184)),IF(R184="Impacto",#REF!,""))),"")</f>
        <v/>
      </c>
      <c r="Z184" s="173" t="str">
        <f t="shared" si="277"/>
        <v/>
      </c>
      <c r="AA184" s="171" t="str">
        <f t="shared" si="278"/>
        <v/>
      </c>
      <c r="AB184" s="173" t="str">
        <f t="shared" si="279"/>
        <v/>
      </c>
      <c r="AC184" s="171" t="str">
        <f>IFERROR(IF(AND(#REF!="Impacto",R184="Impacto"),(#REF!-(+#REF!*U184)),IF(AND(#REF!="Probabilidad",R184="Impacto"),(AC183-(+AC183*U184)),IF(R184="Probabilidad",#REF!,""))),"")</f>
        <v/>
      </c>
      <c r="AD184" s="174" t="str">
        <f t="shared" ref="AD184:AD185" si="281">IFERROR(IF(OR(AND(Z184="Muy Baja",AB184="Leve"),AND(Z184="Muy Baja",AB184="Menor"),AND(Z184="Baja",AB184="Leve")),"Bajo",IF(OR(AND(Z184="Muy baja",AB184="Moderado"),AND(Z184="Baja",AB184="Menor"),AND(Z184="Baja",AB184="Moderado"),AND(Z184="Media",AB184="Leve"),AND(Z184="Media",AB184="Menor"),AND(Z184="Media",AB184="Moderado"),AND(Z184="Alta",AB184="Leve"),AND(Z184="Alta",AB184="Menor")),"Moderado",IF(OR(AND(Z184="Muy Baja",AB184="Mayor"),AND(Z184="Baja",AB184="Mayor"),AND(Z184="Media",AB184="Mayor"),AND(Z184="Alta",AB184="Moderado"),AND(Z184="Alta",AB184="Mayor"),AND(Z184="Muy Alta",AB184="Leve"),AND(Z184="Muy Alta",AB184="Menor"),AND(Z184="Muy Alta",AB184="Moderado"),AND(Z184="Muy Alta",AB184="Mayor")),"Alto",IF(OR(AND(Z184="Muy Baja",AB184="Catastrófico"),AND(Z184="Baja",AB184="Catastrófico"),AND(Z184="Media",AB184="Catastrófico"),AND(Z184="Alta",AB184="Catastrófico"),AND(Z184="Muy Alta",AB184="Catastrófico")),"Extremo","")))),"")</f>
        <v/>
      </c>
      <c r="AE184" s="179"/>
      <c r="AF184" s="192"/>
      <c r="AG184" s="193"/>
      <c r="AH184" s="176"/>
      <c r="AI184" s="176"/>
      <c r="AJ184" s="177"/>
      <c r="AK184" s="522"/>
      <c r="AL184" s="535"/>
      <c r="AM184" s="535"/>
      <c r="AN184" s="535"/>
      <c r="AO184" s="535"/>
      <c r="AP184" s="535"/>
      <c r="AQ184" s="535"/>
      <c r="AR184" s="535"/>
      <c r="AS184" s="158"/>
      <c r="AT184" s="158"/>
      <c r="AU184" s="158"/>
      <c r="AV184" s="158"/>
      <c r="AW184" s="158"/>
      <c r="AX184" s="158"/>
      <c r="AY184" s="158"/>
      <c r="AZ184" s="158"/>
      <c r="BA184" s="158"/>
      <c r="BB184" s="158"/>
      <c r="BC184" s="158"/>
      <c r="BD184" s="158"/>
      <c r="BE184" s="158"/>
      <c r="BF184" s="158"/>
      <c r="BG184" s="158"/>
      <c r="BH184" s="158"/>
      <c r="BI184" s="158"/>
      <c r="BJ184" s="158"/>
    </row>
    <row r="185" spans="2:62" x14ac:dyDescent="0.2">
      <c r="B185" s="314"/>
      <c r="C185" s="324"/>
      <c r="D185" s="317"/>
      <c r="E185" s="313"/>
      <c r="F185" s="313"/>
      <c r="G185" s="304"/>
      <c r="H185" s="305"/>
      <c r="I185" s="306"/>
      <c r="J185" s="307"/>
      <c r="K185" s="308"/>
      <c r="L185" s="307">
        <f>IF(NOT(ISERROR(MATCH(K185,_xlfn.ANCHORARRAY(G428),0))),J430&amp;"Por favor no seleccionar los criterios de impacto",K185)</f>
        <v>0</v>
      </c>
      <c r="M185" s="306"/>
      <c r="N185" s="307"/>
      <c r="O185" s="309"/>
      <c r="P185" s="168"/>
      <c r="Q185" s="127"/>
      <c r="R185" s="169" t="str">
        <f t="shared" si="280"/>
        <v/>
      </c>
      <c r="S185" s="170"/>
      <c r="T185" s="170"/>
      <c r="U185" s="171" t="str">
        <f t="shared" si="276"/>
        <v/>
      </c>
      <c r="V185" s="170"/>
      <c r="W185" s="170"/>
      <c r="X185" s="170"/>
      <c r="Y185" s="172" t="str">
        <f>IFERROR(IF(AND(R184="Probabilidad",R185="Probabilidad"),(AA184-(+AA184*U185)),IF(AND(R184="Impacto",R185="Probabilidad"),(#REF!-(+#REF!*U185)),IF(R185="Impacto",AA184,""))),"")</f>
        <v/>
      </c>
      <c r="Z185" s="173" t="str">
        <f t="shared" si="277"/>
        <v/>
      </c>
      <c r="AA185" s="171" t="str">
        <f t="shared" si="278"/>
        <v/>
      </c>
      <c r="AB185" s="173" t="str">
        <f t="shared" si="279"/>
        <v/>
      </c>
      <c r="AC185" s="171" t="str">
        <f>IFERROR(IF(AND(R184="Impacto",R185="Impacto"),(AC184-(+AC184*U185)),IF(AND(R184="Probabilidad",R185="Impacto"),(#REF!-(+#REF!*U185)),IF(R185="Probabilidad",AC184,""))),"")</f>
        <v/>
      </c>
      <c r="AD185" s="174" t="str">
        <f t="shared" si="281"/>
        <v/>
      </c>
      <c r="AE185" s="179"/>
      <c r="AF185" s="192"/>
      <c r="AG185" s="193"/>
      <c r="AH185" s="176"/>
      <c r="AI185" s="176"/>
      <c r="AJ185" s="177"/>
      <c r="AK185" s="522"/>
      <c r="AL185" s="535"/>
      <c r="AM185" s="535"/>
      <c r="AN185" s="535"/>
      <c r="AO185" s="535"/>
      <c r="AP185" s="535"/>
      <c r="AQ185" s="535"/>
      <c r="AR185" s="535"/>
      <c r="AS185" s="158"/>
      <c r="AT185" s="158"/>
      <c r="AU185" s="158"/>
      <c r="AV185" s="158"/>
      <c r="AW185" s="158"/>
      <c r="AX185" s="158"/>
      <c r="AY185" s="158"/>
      <c r="AZ185" s="158"/>
      <c r="BA185" s="158"/>
      <c r="BB185" s="158"/>
      <c r="BC185" s="158"/>
      <c r="BD185" s="158"/>
      <c r="BE185" s="158"/>
      <c r="BF185" s="158"/>
      <c r="BG185" s="158"/>
      <c r="BH185" s="158"/>
      <c r="BI185" s="158"/>
      <c r="BJ185" s="158"/>
    </row>
    <row r="186" spans="2:62" s="163" customFormat="1" ht="153.75" customHeight="1" x14ac:dyDescent="0.25">
      <c r="B186" s="314" t="s">
        <v>404</v>
      </c>
      <c r="C186" s="315" t="s">
        <v>405</v>
      </c>
      <c r="D186" s="317" t="s">
        <v>406</v>
      </c>
      <c r="E186" s="313" t="s">
        <v>127</v>
      </c>
      <c r="F186" s="313" t="s">
        <v>407</v>
      </c>
      <c r="G186" s="304" t="s">
        <v>408</v>
      </c>
      <c r="H186" s="305" t="s">
        <v>109</v>
      </c>
      <c r="I186" s="306" t="str">
        <f>IF(H186&lt;=0,"",IF(H186="No se ha presentado en los últimos 5 años","Rara vez",IF(H186="Al menos 1 vez en los últimos 5 años","Improbable",IF(H186="Al menos 1 vez en los últimos 2 años","Posible",IF(H186="Al menos 1 vez en el último año","Probable",IF(H186="Más de 1 vez al año","Casi Seguro"))))))</f>
        <v>Rara vez</v>
      </c>
      <c r="J186" s="307">
        <f>IF(I186="","",IF(I186="Rara vez",0.2,IF(I186="Improbable",0.4,IF(I186="Posible",0.6,IF(I186="Probable",0.8,IF(I186="Casi Seguro",1,))))))</f>
        <v>0.2</v>
      </c>
      <c r="K186" s="308" t="s">
        <v>131</v>
      </c>
      <c r="L186" s="307" t="str">
        <f>IF(NOT(ISERROR(MATCH(K186,'Tabla Impacto'!$B$220:$B$222,0))),'Tabla Impacto'!$F$222&amp;"Por favor no seleccionar los criterios de impacto(Criterios para calificar el impacto)",K186)</f>
        <v xml:space="preserve">Responder afirmativamente de DOCE a DIECINUEVE </v>
      </c>
      <c r="M186" s="306" t="str">
        <f>IF(OR(L186='Tabla Impacto'!$C$5),"Moderado",IF(OR(L186='Tabla Impacto'!$C$6),"Mayor",IF(OR(L186='Tabla Impacto'!$C$7),"Catastrófico","")))</f>
        <v>Catastrófico</v>
      </c>
      <c r="N186" s="307">
        <f>IF(M186="","",IF(M186="Leve",0.2,IF(M186="Menor",0.4,IF(M186="Moderado",0.6,IF(M186="Mayor",0.8,IF(M186="Catastrófico",1,))))))</f>
        <v>1</v>
      </c>
      <c r="O186" s="309" t="str">
        <f>IF(OR(AND(I186="Rara vez",M186="Leve"),AND(I186="Rara vez",M186="Menor"),AND(I186="Improbable",M186="Leve")),"Bajo",IF(OR(AND(I186="Rara vez",M186="Moderado"),AND(I186="Improbable",M186="Menor"),AND(I186="Improbable",M186="Moderado"),AND(I186="Posible",M186="Leve"),AND(I186="Posible",M186="Menor"),AND(I186="Posible",M186="Moderado"),AND(I186="Probable",M186="Leve"),AND(I186="Probable",M186="Menor")),"Moderado",IF(OR(AND(I186="Rara vez",M186="Mayor"),AND(I186="Improbable",M186="Mayor"),AND(I186="Posible",M186="Mayor"),AND(I186="Probable",M186="Moderado"),AND(I186="Probable",M186="Mayor"),AND(I186="Casi Seguro",M186="Leve"),AND(I186="Casi Seguro",M186="Menor"),AND(I186="Casi Seguro",M186="Moderado"),AND(I186="Casi Seguro",M186="Mayor")),"Alto",IF(OR(AND(I186="Rara vez",M186="Catastrófico"),AND(I186="Improbable",M186="Catastrófico"),AND(I186="Posible",M186="Catastrófico"),AND(I186="Probable",M186="Catastrófico"),AND(I186="Casi Seguro",M186="Catastrófico")),"Extremo",""))))</f>
        <v>Extremo</v>
      </c>
      <c r="P186" s="168">
        <v>1</v>
      </c>
      <c r="Q186" s="129" t="s">
        <v>409</v>
      </c>
      <c r="R186" s="169" t="str">
        <f>IF(OR(S186="Preventivo",S186="Detectivo"),"Probabilidad",IF(S186="Correctivo","Impacto",""))</f>
        <v>Probabilidad</v>
      </c>
      <c r="S186" s="170" t="s">
        <v>133</v>
      </c>
      <c r="T186" s="170" t="s">
        <v>113</v>
      </c>
      <c r="U186" s="171" t="str">
        <f>IF(AND(S186="Preventivo",T186="Automático"),"50%",IF(AND(S186="Preventivo",T186="Manual"),"40%",IF(AND(S186="Detectivo",T186="Automático"),"40%",IF(AND(S186="Detectivo",T186="Manual"),"30%",IF(AND(S186="Correctivo",T186="Automático"),"35%",IF(AND(S186="Correctivo",T186="Manual"),"25%",""))))))</f>
        <v>30%</v>
      </c>
      <c r="V186" s="170" t="s">
        <v>119</v>
      </c>
      <c r="W186" s="170" t="s">
        <v>115</v>
      </c>
      <c r="X186" s="170" t="s">
        <v>134</v>
      </c>
      <c r="Y186" s="172">
        <f>IFERROR(IF(R186="Probabilidad",(J186-(+J186*U186)),IF(R186="Impacto",J186,"")),"")</f>
        <v>0.14000000000000001</v>
      </c>
      <c r="Z186" s="173" t="str">
        <f>IFERROR(IF(Y186="","",IF(Y186&lt;=0.2,"Rara vez",IF(Y186&lt;=0.4,"Improbable",IF(Y186&lt;=0.6,"Posible",IF(Y186&lt;=0.8,"Probable","Casi Seguro"))))),"")</f>
        <v>Rara vez</v>
      </c>
      <c r="AA186" s="171">
        <f>+Y186</f>
        <v>0.14000000000000001</v>
      </c>
      <c r="AB186" s="173" t="str">
        <f>IFERROR(IF(AC186="","",IF(AC186&lt;=0.6,"Moderado",IF(AC186&lt;=0.8,"Mayor","Catastrófico"))),"")</f>
        <v>Catastrófico</v>
      </c>
      <c r="AC186" s="171">
        <f>IFERROR(IF(R186="Impacto",(N186-(+N186*U186)),IF(R186="Probabilidad",N186,"")),"")</f>
        <v>1</v>
      </c>
      <c r="AD186" s="174" t="str">
        <f>IFERROR(IF(OR(AND(Z186="Rara vez",AB186="Leve"),AND(Z186="Rara vez",AB186="Menor"),AND(Z186="Improbable",AB186="Leve")),"Bajo",IF(OR(AND(Z186="Rara vez",AB186="Moderado"),AND(Z186="Improbable",AB186="Menor"),AND(Z186="Improbable",AB186="Moderado"),AND(Z186="Posible",AB186="Leve"),AND(Z186="Posible",AB186="Menor"),AND(Z186="Posible",AB186="Moderado"),AND(Z186="Probable",AB186="Leve"),AND(Z186="Probable",AB186="Menor")),"Moderado",IF(OR(AND(Z186="Rara vez",AB186="Mayor"),AND(Z186="Improbable",AB186="Mayor"),AND(Z186="Posible",AB186="Mayor"),AND(Z186="Probable",AB186="Moderado"),AND(Z186="Probable",AB186="Mayor"),AND(Z186="Casi Seguro",AB186="Leve"),AND(Z186="Casi Seguro",AB186="Menor"),AND(Z186="Casi Seguro",AB186="Moderado"),AND(Z186="Casi Seguro",AB186="Mayor")),"Alto",IF(OR(AND(Z186="Rara vez",AB186="Catastrófico"),AND(Z186="Improbable",AB186="Catastrófico"),AND(Z186="Posible",AB186="Catastrófico"),AND(Z186="Probable",AB186="Catastrófico"),AND(Z186="Casi Seguro",AB186="Catastrófico")),"Extremo","")))),"")</f>
        <v>Extremo</v>
      </c>
      <c r="AE186" s="170"/>
      <c r="AF186" s="123"/>
      <c r="AG186" s="123"/>
      <c r="AH186" s="175"/>
      <c r="AI186" s="176"/>
      <c r="AJ186" s="177"/>
      <c r="AK186" s="522"/>
      <c r="AL186" s="534"/>
      <c r="AM186" s="534"/>
      <c r="AN186" s="534"/>
      <c r="AO186" s="534"/>
      <c r="AP186" s="534"/>
      <c r="AQ186" s="534"/>
      <c r="AR186" s="534"/>
      <c r="AS186" s="178"/>
      <c r="AT186" s="178"/>
      <c r="AU186" s="178"/>
      <c r="AV186" s="178"/>
      <c r="AW186" s="178"/>
      <c r="AX186" s="178"/>
      <c r="AY186" s="178"/>
      <c r="AZ186" s="178"/>
      <c r="BA186" s="178"/>
      <c r="BB186" s="178"/>
      <c r="BC186" s="178"/>
      <c r="BD186" s="178"/>
      <c r="BE186" s="178"/>
      <c r="BF186" s="178"/>
      <c r="BG186" s="178"/>
      <c r="BH186" s="178"/>
      <c r="BI186" s="178"/>
      <c r="BJ186" s="178"/>
    </row>
    <row r="187" spans="2:62" ht="65.25" x14ac:dyDescent="0.2">
      <c r="B187" s="314"/>
      <c r="C187" s="316"/>
      <c r="D187" s="317"/>
      <c r="E187" s="313"/>
      <c r="F187" s="313"/>
      <c r="G187" s="304"/>
      <c r="H187" s="305"/>
      <c r="I187" s="306"/>
      <c r="J187" s="307"/>
      <c r="K187" s="308"/>
      <c r="L187" s="307">
        <f>IF(NOT(ISERROR(MATCH(K187,_xlfn.ANCHORARRAY(G429),0))),J431&amp;"Por favor no seleccionar los criterios de impacto",K187)</f>
        <v>0</v>
      </c>
      <c r="M187" s="306"/>
      <c r="N187" s="307"/>
      <c r="O187" s="309"/>
      <c r="P187" s="168">
        <v>2</v>
      </c>
      <c r="Q187" s="129" t="s">
        <v>410</v>
      </c>
      <c r="R187" s="169" t="str">
        <f>IF(OR(S187="Preventivo",S187="Detectivo"),"Probabilidad",IF(S187="Correctivo","Impacto",""))</f>
        <v>Probabilidad</v>
      </c>
      <c r="S187" s="170" t="s">
        <v>133</v>
      </c>
      <c r="T187" s="170" t="s">
        <v>113</v>
      </c>
      <c r="U187" s="171" t="str">
        <f t="shared" ref="U187:U190" si="282">IF(AND(S187="Preventivo",T187="Automático"),"50%",IF(AND(S187="Preventivo",T187="Manual"),"40%",IF(AND(S187="Detectivo",T187="Automático"),"40%",IF(AND(S187="Detectivo",T187="Manual"),"30%",IF(AND(S187="Correctivo",T187="Automático"),"35%",IF(AND(S187="Correctivo",T187="Manual"),"25%",""))))))</f>
        <v>30%</v>
      </c>
      <c r="V187" s="170" t="s">
        <v>119</v>
      </c>
      <c r="W187" s="170" t="s">
        <v>115</v>
      </c>
      <c r="X187" s="170" t="s">
        <v>134</v>
      </c>
      <c r="Y187" s="172">
        <f>IFERROR(IF(AND(R186="Probabilidad",R187="Probabilidad"),(AA186-(+AA186*U187)),IF(R187="Probabilidad",(J186-(+J186*U187)),IF(R187="Impacto",AA186,""))),"")</f>
        <v>9.8000000000000004E-2</v>
      </c>
      <c r="Z187" s="173" t="str">
        <f t="shared" ref="Z187:Z190" si="283">IFERROR(IF(Y187="","",IF(Y187&lt;=0.2,"Rara vez",IF(Y187&lt;=0.4,"Improbable",IF(Y187&lt;=0.6,"Posible",IF(Y187&lt;=0.8,"Probable","Casi Seguro"))))),"")</f>
        <v>Rara vez</v>
      </c>
      <c r="AA187" s="171">
        <f t="shared" ref="AA187:AA190" si="284">+Y187</f>
        <v>9.8000000000000004E-2</v>
      </c>
      <c r="AB187" s="173" t="str">
        <f t="shared" ref="AB187:AB190" si="285">IFERROR(IF(AC187="","",IF(AC187&lt;=0.6,"Moderado",IF(AC187&lt;=0.8,"Mayor","Catastrófico"))),"")</f>
        <v>Catastrófico</v>
      </c>
      <c r="AC187" s="171">
        <f>IFERROR(IF(AND(R186="Impacto",R187="Impacto"),(AC186-(+AC186*U187)),IF(R187="Impacto",(N186-(+N186*U187)),IF(R187="Probabilidad",AC186,""))),"")</f>
        <v>1</v>
      </c>
      <c r="AD187" s="174" t="str">
        <f>IFERROR(IF(OR(AND(Z187="Rara vez",AB187="Leve"),AND(Z187="Rara vez",AB187="Menor"),AND(Z187="Improbable",AB187="Leve")),"Bajo",IF(OR(AND(Z187="Rara vez",AB187="Moderado"),AND(Z187="Improbable",AB187="Menor"),AND(Z187="Improbable",AB187="Moderado"),AND(Z187="Posible",AB187="Leve"),AND(Z187="Posible",AB187="Menor"),AND(Z187="Posible",AB187="Moderado"),AND(Z187="Probable",AB187="Leve"),AND(Z187="Probable",AB187="Menor")),"Moderado",IF(OR(AND(Z187="Rara vez",AB187="Mayor"),AND(Z187="Improbable",AB187="Mayor"),AND(Z187="Posible",AB187="Mayor"),AND(Z187="Probable",AB187="Moderado"),AND(Z187="Probable",AB187="Mayor"),AND(Z187="Casi Seguro",AB187="Leve"),AND(Z187="Casi Seguro",AB187="Menor"),AND(Z187="Casi Seguro",AB187="Moderado"),AND(Z187="Casi Seguro",AB187="Mayor")),"Alto",IF(OR(AND(Z187="Rara vez",AB187="Catastrófico"),AND(Z187="Improbable",AB187="Catastrófico"),AND(Z187="Posible",AB187="Catastrófico"),AND(Z187="Probable",AB187="Catastrófico"),AND(Z187="Casi Seguro",AB187="Catastrófico")),"Extremo","")))),"")</f>
        <v>Extremo</v>
      </c>
      <c r="AE187" s="170"/>
      <c r="AF187" s="132"/>
      <c r="AG187" s="194"/>
      <c r="AH187" s="195"/>
      <c r="AI187" s="195"/>
      <c r="AJ187" s="181"/>
      <c r="AK187" s="522"/>
      <c r="AL187" s="535"/>
      <c r="AM187" s="535"/>
      <c r="AN187" s="535"/>
      <c r="AO187" s="535"/>
      <c r="AP187" s="535"/>
      <c r="AQ187" s="535"/>
      <c r="AR187" s="535"/>
      <c r="AS187" s="158"/>
      <c r="AT187" s="158"/>
      <c r="AU187" s="158"/>
      <c r="AV187" s="158"/>
      <c r="AW187" s="158"/>
      <c r="AX187" s="158"/>
      <c r="AY187" s="158"/>
      <c r="AZ187" s="158"/>
      <c r="BA187" s="158"/>
      <c r="BB187" s="158"/>
      <c r="BC187" s="158"/>
      <c r="BD187" s="158"/>
      <c r="BE187" s="158"/>
      <c r="BF187" s="158"/>
      <c r="BG187" s="158"/>
      <c r="BH187" s="158"/>
      <c r="BI187" s="158"/>
      <c r="BJ187" s="158"/>
    </row>
    <row r="188" spans="2:62" ht="102" x14ac:dyDescent="0.2">
      <c r="B188" s="314"/>
      <c r="C188" s="316"/>
      <c r="D188" s="317"/>
      <c r="E188" s="313"/>
      <c r="F188" s="313"/>
      <c r="G188" s="304"/>
      <c r="H188" s="305"/>
      <c r="I188" s="306"/>
      <c r="J188" s="307"/>
      <c r="K188" s="308"/>
      <c r="L188" s="307">
        <f>IF(NOT(ISERROR(MATCH(K188,_xlfn.ANCHORARRAY(G430),0))),J432&amp;"Por favor no seleccionar los criterios de impacto",K188)</f>
        <v>0</v>
      </c>
      <c r="M188" s="306"/>
      <c r="N188" s="307"/>
      <c r="O188" s="309"/>
      <c r="P188" s="168">
        <v>3</v>
      </c>
      <c r="Q188" s="129" t="s">
        <v>411</v>
      </c>
      <c r="R188" s="169" t="s">
        <v>118</v>
      </c>
      <c r="S188" s="170" t="s">
        <v>133</v>
      </c>
      <c r="T188" s="170" t="s">
        <v>113</v>
      </c>
      <c r="U188" s="171" t="str">
        <f t="shared" si="282"/>
        <v>30%</v>
      </c>
      <c r="V188" s="170" t="s">
        <v>119</v>
      </c>
      <c r="W188" s="170" t="s">
        <v>115</v>
      </c>
      <c r="X188" s="170" t="s">
        <v>134</v>
      </c>
      <c r="Y188" s="172">
        <f>IFERROR(IF(AND(R187="Probabilidad",R188="Probabilidad"),(AA187-(+AA187*U188)),IF(AND(R187="Impacto",R188="Probabilidad"),(AA186-(+AA186*U188)),IF(R188="Impacto",AA187,""))),"")</f>
        <v>6.8600000000000008E-2</v>
      </c>
      <c r="Z188" s="173" t="str">
        <f t="shared" si="283"/>
        <v>Rara vez</v>
      </c>
      <c r="AA188" s="171">
        <f t="shared" si="284"/>
        <v>6.8600000000000008E-2</v>
      </c>
      <c r="AB188" s="173" t="str">
        <f t="shared" si="285"/>
        <v>Catastrófico</v>
      </c>
      <c r="AC188" s="171">
        <f>IFERROR(IF(AND(R187="Impacto",R188="Impacto"),(AC187-(+AC187*U188)),IF(AND(R187="Probabilidad",R188="Impacto"),(AC186-(+AC186*U188)),IF(R188="Probabilidad",AC187,""))),"")</f>
        <v>1</v>
      </c>
      <c r="AD188" s="174" t="str">
        <f>IFERROR(IF(OR(AND(Z188="Rara vez",AB188="Leve"),AND(Z188="Rara vez",AB188="Menor"),AND(Z188="Improbable",AB188="Leve")),"Bajo",IF(OR(AND(Z188="Rara vez",AB188="Moderado"),AND(Z188="Improbable",AB188="Menor"),AND(Z188="Improbable",AB188="Moderado"),AND(Z188="Posible",AB188="Leve"),AND(Z188="Posible",AB188="Menor"),AND(Z188="Posible",AB188="Moderado"),AND(Z188="Probable",AB188="Leve"),AND(Z188="Probable",AB188="Menor")),"Moderado",IF(OR(AND(Z188="Rara vez",AB188="Mayor"),AND(Z188="Improbable",AB188="Mayor"),AND(Z188="Posible",AB188="Mayor"),AND(Z188="Probable",AB188="Moderado"),AND(Z188="Probable",AB188="Mayor"),AND(Z188="Casi Seguro",AB188="Leve"),AND(Z188="Casi Seguro",AB188="Menor"),AND(Z188="Casi Seguro",AB188="Moderado"),AND(Z188="Casi Seguro",AB188="Mayor")),"Alto",IF(OR(AND(Z188="Rara vez",AB188="Catastrófico"),AND(Z188="Improbable",AB188="Catastrófico"),AND(Z188="Posible",AB188="Catastrófico"),AND(Z188="Probable",AB188="Catastrófico"),AND(Z188="Casi Seguro",AB188="Catastrófico")),"Extremo","")))),"")</f>
        <v>Extremo</v>
      </c>
      <c r="AE188" s="196"/>
      <c r="AF188" s="152"/>
      <c r="AG188" s="152"/>
      <c r="AH188" s="207"/>
      <c r="AI188" s="208"/>
      <c r="AJ188" s="209"/>
      <c r="AK188" s="523"/>
      <c r="AL188" s="535"/>
      <c r="AM188" s="535"/>
      <c r="AN188" s="535"/>
      <c r="AO188" s="535"/>
      <c r="AP188" s="535"/>
      <c r="AQ188" s="535"/>
      <c r="AR188" s="535"/>
      <c r="AS188" s="158"/>
      <c r="AT188" s="158"/>
      <c r="AU188" s="158"/>
      <c r="AV188" s="158"/>
      <c r="AW188" s="158"/>
      <c r="AX188" s="158"/>
      <c r="AY188" s="158"/>
      <c r="AZ188" s="158"/>
      <c r="BA188" s="158"/>
      <c r="BB188" s="158"/>
      <c r="BC188" s="158"/>
      <c r="BD188" s="158"/>
      <c r="BE188" s="158"/>
      <c r="BF188" s="158"/>
      <c r="BG188" s="158"/>
      <c r="BH188" s="158"/>
      <c r="BI188" s="158"/>
      <c r="BJ188" s="158"/>
    </row>
    <row r="189" spans="2:62" ht="127.5" x14ac:dyDescent="0.2">
      <c r="B189" s="314"/>
      <c r="C189" s="316"/>
      <c r="D189" s="317"/>
      <c r="E189" s="313"/>
      <c r="F189" s="313"/>
      <c r="G189" s="304"/>
      <c r="H189" s="305"/>
      <c r="I189" s="306"/>
      <c r="J189" s="307"/>
      <c r="K189" s="308"/>
      <c r="L189" s="307">
        <f>IF(NOT(ISERROR(MATCH(K189,_xlfn.ANCHORARRAY(G431),0))),J433&amp;"Por favor no seleccionar los criterios de impacto",K189)</f>
        <v>0</v>
      </c>
      <c r="M189" s="306"/>
      <c r="N189" s="307"/>
      <c r="O189" s="309"/>
      <c r="P189" s="168">
        <v>4</v>
      </c>
      <c r="Q189" s="129" t="s">
        <v>412</v>
      </c>
      <c r="R189" s="169" t="s">
        <v>118</v>
      </c>
      <c r="S189" s="170" t="s">
        <v>133</v>
      </c>
      <c r="T189" s="170" t="s">
        <v>113</v>
      </c>
      <c r="U189" s="171" t="str">
        <f t="shared" si="282"/>
        <v>30%</v>
      </c>
      <c r="V189" s="170" t="s">
        <v>119</v>
      </c>
      <c r="W189" s="170" t="s">
        <v>115</v>
      </c>
      <c r="X189" s="170" t="s">
        <v>134</v>
      </c>
      <c r="Y189" s="172">
        <f t="shared" ref="Y189:Y190" si="286">IFERROR(IF(AND(R188="Probabilidad",R189="Probabilidad"),(AA188-(+AA188*U189)),IF(AND(R188="Impacto",R189="Probabilidad"),(AA187-(+AA187*U189)),IF(R189="Impacto",AA188,""))),"")</f>
        <v>4.8020000000000007E-2</v>
      </c>
      <c r="Z189" s="173" t="str">
        <f t="shared" si="283"/>
        <v>Rara vez</v>
      </c>
      <c r="AA189" s="171">
        <f t="shared" si="284"/>
        <v>4.8020000000000007E-2</v>
      </c>
      <c r="AB189" s="173" t="str">
        <f t="shared" si="285"/>
        <v>Catastrófico</v>
      </c>
      <c r="AC189" s="171">
        <f t="shared" ref="AC189:AC190" si="287">IFERROR(IF(AND(R188="Impacto",R189="Impacto"),(AC188-(+AC188*U189)),IF(AND(R188="Probabilidad",R189="Impacto"),(AC187-(+AC187*U189)),IF(R189="Probabilidad",AC188,""))),"")</f>
        <v>1</v>
      </c>
      <c r="AD189" s="174" t="str">
        <f>IFERROR(IF(OR(AND(Z189="Rara vez",AB189="Leve"),AND(Z189="Rara vez",AB189="Menor"),AND(Z189="Improbable",AB189="Leve")),"Bajo",IF(OR(AND(Z189="Rara vez",AB189="Moderado"),AND(Z189="Improbable",AB189="Menor"),AND(Z189="Improbable",AB189="Moderado"),AND(Z189="Posible",AB189="Leve"),AND(Z189="Posible",AB189="Menor"),AND(Z189="Posible",AB189="Moderado"),AND(Z189="Probable",AB189="Leve"),AND(Z189="Probable",AB189="Menor")),"Moderado",IF(OR(AND(Z189="Rara vez",AB189="Mayor"),AND(Z189="Improbable",AB189="Mayor"),AND(Z189="Posible",AB189="Mayor"),AND(Z189="Probable",AB189="Moderado"),AND(Z189="Probable",AB189="Mayor"),AND(Z189="Casi Seguro",AB189="Leve"),AND(Z189="Casi Seguro",AB189="Menor"),AND(Z189="Casi Seguro",AB189="Moderado"),AND(Z189="Casi Seguro",AB189="Mayor")),"Alto",IF(OR(AND(Z189="Rara vez",AB189="Catastrófico"),AND(Z189="Improbable",AB189="Catastrófico"),AND(Z189="Posible",AB189="Catastrófico"),AND(Z189="Probable",AB189="Catastrófico"),AND(Z189="Casi Seguro",AB189="Catastrófico")),"Extremo","")))),"")</f>
        <v>Extremo</v>
      </c>
      <c r="AE189" s="170"/>
      <c r="AF189" s="210"/>
      <c r="AG189" s="211"/>
      <c r="AH189" s="212"/>
      <c r="AI189" s="213"/>
      <c r="AJ189" s="214"/>
      <c r="AK189" s="531"/>
      <c r="AL189" s="535"/>
      <c r="AM189" s="535"/>
      <c r="AN189" s="535"/>
      <c r="AO189" s="535"/>
      <c r="AP189" s="535"/>
      <c r="AQ189" s="535"/>
      <c r="AR189" s="535"/>
      <c r="AS189" s="158"/>
      <c r="AT189" s="158"/>
      <c r="AU189" s="158"/>
      <c r="AV189" s="158"/>
      <c r="AW189" s="158"/>
      <c r="AX189" s="158"/>
      <c r="AY189" s="158"/>
      <c r="AZ189" s="158"/>
      <c r="BA189" s="158"/>
      <c r="BB189" s="158"/>
      <c r="BC189" s="158"/>
      <c r="BD189" s="158"/>
      <c r="BE189" s="158"/>
      <c r="BF189" s="158"/>
      <c r="BG189" s="158"/>
      <c r="BH189" s="158"/>
      <c r="BI189" s="158"/>
      <c r="BJ189" s="158"/>
    </row>
    <row r="190" spans="2:62" ht="76.5" x14ac:dyDescent="0.2">
      <c r="B190" s="314"/>
      <c r="C190" s="316"/>
      <c r="D190" s="317"/>
      <c r="E190" s="313"/>
      <c r="F190" s="313"/>
      <c r="G190" s="304"/>
      <c r="H190" s="305"/>
      <c r="I190" s="306"/>
      <c r="J190" s="307"/>
      <c r="K190" s="308"/>
      <c r="L190" s="307">
        <f>IF(NOT(ISERROR(MATCH(K190,_xlfn.ANCHORARRAY(G432),0))),J434&amp;"Por favor no seleccionar los criterios de impacto",K190)</f>
        <v>0</v>
      </c>
      <c r="M190" s="306"/>
      <c r="N190" s="307"/>
      <c r="O190" s="309"/>
      <c r="P190" s="168">
        <v>5</v>
      </c>
      <c r="Q190" s="129" t="s">
        <v>413</v>
      </c>
      <c r="R190" s="169" t="s">
        <v>136</v>
      </c>
      <c r="S190" s="182" t="s">
        <v>137</v>
      </c>
      <c r="T190" s="170" t="s">
        <v>113</v>
      </c>
      <c r="U190" s="171" t="str">
        <f t="shared" si="282"/>
        <v>25%</v>
      </c>
      <c r="V190" s="170" t="s">
        <v>114</v>
      </c>
      <c r="W190" s="170" t="s">
        <v>115</v>
      </c>
      <c r="X190" s="170" t="s">
        <v>134</v>
      </c>
      <c r="Y190" s="172">
        <f t="shared" si="286"/>
        <v>4.8020000000000007E-2</v>
      </c>
      <c r="Z190" s="173" t="str">
        <f t="shared" si="283"/>
        <v>Rara vez</v>
      </c>
      <c r="AA190" s="171">
        <f t="shared" si="284"/>
        <v>4.8020000000000007E-2</v>
      </c>
      <c r="AB190" s="173" t="str">
        <f t="shared" si="285"/>
        <v>Mayor</v>
      </c>
      <c r="AC190" s="171">
        <f t="shared" si="287"/>
        <v>0.75</v>
      </c>
      <c r="AD190" s="174" t="str">
        <f>IFERROR(IF(OR(AND(Z190="Rara vez",AB190="Leve"),AND(Z190="Rara vez",AB190="Menor"),AND(Z190="Improbable",AB190="Leve")),"Bajo",IF(OR(AND(Z190="Rara vez",AB190="Moderado"),AND(Z190="Improbable",AB190="Menor"),AND(Z190="Improbable",AB190="Moderado"),AND(Z190="Posible",AB190="Leve"),AND(Z190="Posible",AB190="Menor"),AND(Z190="Posible",AB190="Moderado"),AND(Z190="Probable",AB190="Leve"),AND(Z190="Probable",AB190="Menor")),"Moderado",IF(OR(AND(Z190="Rara vez",AB190="Mayor"),AND(Z190="Improbable",AB190="Mayor"),AND(Z190="Posible",AB190="Mayor"),AND(Z190="Probable",AB190="Moderado"),AND(Z190="Probable",AB190="Mayor"),AND(Z190="Casi Seguro",AB190="Leve"),AND(Z190="Casi Seguro",AB190="Menor"),AND(Z190="Casi Seguro",AB190="Moderado"),AND(Z190="Casi Seguro",AB190="Mayor")),"Alto",IF(OR(AND(Z190="Rara vez",AB190="Catastrófico"),AND(Z190="Improbable",AB190="Catastrófico"),AND(Z190="Posible",AB190="Catastrófico"),AND(Z190="Probable",AB190="Catastrófico"),AND(Z190="Casi Seguro",AB190="Catastrófico")),"Extremo","")))),"")</f>
        <v>Alto</v>
      </c>
      <c r="AE190" s="216" t="s">
        <v>120</v>
      </c>
      <c r="AF190" s="152" t="s">
        <v>414</v>
      </c>
      <c r="AG190" s="152" t="s">
        <v>415</v>
      </c>
      <c r="AH190" s="207">
        <v>45961</v>
      </c>
      <c r="AI190" s="152"/>
      <c r="AJ190" s="152"/>
      <c r="AK190" s="524" t="s">
        <v>123</v>
      </c>
      <c r="AL190" s="535"/>
      <c r="AM190" s="535"/>
      <c r="AN190" s="535"/>
      <c r="AO190" s="535"/>
      <c r="AP190" s="535"/>
      <c r="AQ190" s="535"/>
      <c r="AR190" s="535"/>
      <c r="AS190" s="158"/>
      <c r="AT190" s="158"/>
      <c r="AU190" s="158"/>
      <c r="AV190" s="158"/>
      <c r="AW190" s="158"/>
      <c r="AX190" s="158"/>
      <c r="AY190" s="158"/>
      <c r="AZ190" s="158"/>
      <c r="BA190" s="158"/>
      <c r="BB190" s="158"/>
      <c r="BC190" s="158"/>
      <c r="BD190" s="158"/>
      <c r="BE190" s="158"/>
      <c r="BF190" s="158"/>
      <c r="BG190" s="158"/>
      <c r="BH190" s="158"/>
      <c r="BI190" s="158"/>
      <c r="BJ190" s="158"/>
    </row>
    <row r="191" spans="2:62" ht="14.25" customHeight="1" x14ac:dyDescent="0.2">
      <c r="B191" s="314"/>
      <c r="C191" s="320"/>
      <c r="D191" s="317"/>
      <c r="E191" s="313"/>
      <c r="F191" s="313"/>
      <c r="G191" s="304"/>
      <c r="H191" s="305"/>
      <c r="I191" s="306"/>
      <c r="J191" s="307"/>
      <c r="K191" s="308"/>
      <c r="L191" s="307">
        <f>IF(NOT(ISERROR(MATCH(K191,_xlfn.ANCHORARRAY(G433),0))),J435&amp;"Por favor no seleccionar los criterios de impacto",K191)</f>
        <v>0</v>
      </c>
      <c r="M191" s="306"/>
      <c r="N191" s="307"/>
      <c r="O191" s="309"/>
      <c r="P191" s="168">
        <v>6</v>
      </c>
      <c r="Q191" s="129"/>
      <c r="R191" s="169"/>
      <c r="S191" s="170"/>
      <c r="T191" s="170"/>
      <c r="U191" s="171"/>
      <c r="V191" s="170"/>
      <c r="W191" s="170"/>
      <c r="X191" s="170"/>
      <c r="Y191" s="172"/>
      <c r="Z191" s="173"/>
      <c r="AA191" s="171"/>
      <c r="AB191" s="173"/>
      <c r="AC191" s="171"/>
      <c r="AD191" s="174"/>
      <c r="AE191" s="170"/>
      <c r="AF191" s="141"/>
      <c r="AG191" s="141"/>
      <c r="AH191" s="142"/>
      <c r="AI191" s="142"/>
      <c r="AJ191" s="217"/>
      <c r="AK191" s="530"/>
      <c r="AL191" s="535"/>
      <c r="AM191" s="535"/>
      <c r="AN191" s="535"/>
      <c r="AO191" s="535"/>
      <c r="AP191" s="535"/>
      <c r="AQ191" s="535"/>
      <c r="AR191" s="535"/>
      <c r="AS191" s="158"/>
      <c r="AT191" s="158"/>
      <c r="AU191" s="158"/>
      <c r="AV191" s="158"/>
      <c r="AW191" s="158"/>
      <c r="AX191" s="158"/>
      <c r="AY191" s="158"/>
      <c r="AZ191" s="158"/>
      <c r="BA191" s="158"/>
      <c r="BB191" s="158"/>
      <c r="BC191" s="158"/>
      <c r="BD191" s="158"/>
      <c r="BE191" s="158"/>
      <c r="BF191" s="158"/>
      <c r="BG191" s="158"/>
      <c r="BH191" s="158"/>
      <c r="BI191" s="158"/>
      <c r="BJ191" s="158"/>
    </row>
    <row r="192" spans="2:62" s="163" customFormat="1" ht="140.25" x14ac:dyDescent="0.25">
      <c r="B192" s="318" t="s">
        <v>416</v>
      </c>
      <c r="C192" s="315" t="s">
        <v>405</v>
      </c>
      <c r="D192" s="317" t="s">
        <v>417</v>
      </c>
      <c r="E192" s="313" t="s">
        <v>127</v>
      </c>
      <c r="F192" s="313" t="s">
        <v>418</v>
      </c>
      <c r="G192" s="304" t="s">
        <v>419</v>
      </c>
      <c r="H192" s="305" t="s">
        <v>109</v>
      </c>
      <c r="I192" s="306" t="str">
        <f>IF(H192&lt;=0,"",IF(H192="No se ha presentado en los últimos 5 años","Rara vez",IF(H192="Al menos 1 vez en los últimos 5 años","Improbable",IF(H192="Al menos 1 vez en los últimos 2 años","Posible",IF(H192="Al menos 1 vez en el último año","Probable",IF(H192="Más de 1 vez al año","Casi Seguro"))))))</f>
        <v>Rara vez</v>
      </c>
      <c r="J192" s="307">
        <f>IF(I192="","",IF(I192="Rara vez",0.2,IF(I192="Improbable",0.4,IF(I192="Posible",0.6,IF(I192="Probable",0.8,IF(I192="Casi Seguro",1,))))))</f>
        <v>0.2</v>
      </c>
      <c r="K192" s="308" t="s">
        <v>131</v>
      </c>
      <c r="L192" s="307" t="str">
        <f>IF(NOT(ISERROR(MATCH(K192,'Tabla Impacto'!$B$220:$B$222,0))),'Tabla Impacto'!$F$222&amp;"Por favor no seleccionar los criterios de impacto(Criterios para calificar el impacto)",K192)</f>
        <v xml:space="preserve">Responder afirmativamente de DOCE a DIECINUEVE </v>
      </c>
      <c r="M192" s="306" t="str">
        <f>IF(OR(L192='Tabla Impacto'!$C$5),"Moderado",IF(OR(L192='Tabla Impacto'!$C$6),"Mayor",IF(OR(L192='Tabla Impacto'!$C$7),"Catastrófico","")))</f>
        <v>Catastrófico</v>
      </c>
      <c r="N192" s="307">
        <f>IF(M192="","",IF(M192="Leve",0.2,IF(M192="Menor",0.4,IF(M192="Moderado",0.6,IF(M192="Mayor",0.8,IF(M192="Catastrófico",1,))))))</f>
        <v>1</v>
      </c>
      <c r="O192" s="309" t="str">
        <f>IF(OR(AND(I192="Rara vez",M192="Leve"),AND(I192="Rara vez",M192="Menor"),AND(I192="Improbable",M192="Leve")),"Bajo",IF(OR(AND(I192="Rara vez",M192="Moderado"),AND(I192="Improbable",M192="Menor"),AND(I192="Improbable",M192="Moderado"),AND(I192="Posible",M192="Leve"),AND(I192="Posible",M192="Menor"),AND(I192="Posible",M192="Moderado"),AND(I192="Probable",M192="Leve"),AND(I192="Probable",M192="Menor")),"Moderado",IF(OR(AND(I192="Rara vez",M192="Mayor"),AND(I192="Improbable",M192="Mayor"),AND(I192="Posible",M192="Mayor"),AND(I192="Probable",M192="Moderado"),AND(I192="Probable",M192="Mayor"),AND(I192="Casi Seguro",M192="Leve"),AND(I192="Casi Seguro",M192="Menor"),AND(I192="Casi Seguro",M192="Moderado"),AND(I192="Casi Seguro",M192="Mayor")),"Alto",IF(OR(AND(I192="Rara vez",M192="Catastrófico"),AND(I192="Improbable",M192="Catastrófico"),AND(I192="Posible",M192="Catastrófico"),AND(I192="Probable",M192="Catastrófico"),AND(I192="Casi Seguro",M192="Catastrófico")),"Extremo",""))))</f>
        <v>Extremo</v>
      </c>
      <c r="P192" s="168">
        <v>1</v>
      </c>
      <c r="Q192" s="129" t="s">
        <v>420</v>
      </c>
      <c r="R192" s="169" t="str">
        <f>IF(OR(S192="Preventivo",S192="Detectivo"),"Probabilidad",IF(S192="Correctivo","Impacto",""))</f>
        <v>Probabilidad</v>
      </c>
      <c r="S192" s="170" t="s">
        <v>133</v>
      </c>
      <c r="T192" s="170" t="s">
        <v>113</v>
      </c>
      <c r="U192" s="171" t="str">
        <f>IF(AND(S192="Preventivo",T192="Automático"),"50%",IF(AND(S192="Preventivo",T192="Manual"),"40%",IF(AND(S192="Detectivo",T192="Automático"),"40%",IF(AND(S192="Detectivo",T192="Manual"),"30%",IF(AND(S192="Correctivo",T192="Automático"),"35%",IF(AND(S192="Correctivo",T192="Manual"),"25%",""))))))</f>
        <v>30%</v>
      </c>
      <c r="V192" s="170" t="s">
        <v>119</v>
      </c>
      <c r="W192" s="170" t="s">
        <v>115</v>
      </c>
      <c r="X192" s="170" t="s">
        <v>134</v>
      </c>
      <c r="Y192" s="172">
        <f>IFERROR(IF(R192="Probabilidad",(J192-(+J192*U192)),IF(R192="Impacto",J192,"")),"")</f>
        <v>0.14000000000000001</v>
      </c>
      <c r="Z192" s="173" t="str">
        <f>IFERROR(IF(Y192="","",IF(Y192&lt;=0.2,"Rara vez",IF(Y192&lt;=0.4,"Improbable",IF(Y192&lt;=0.6,"Posible",IF(Y192&lt;=0.8,"Probable","Casi Seguro"))))),"")</f>
        <v>Rara vez</v>
      </c>
      <c r="AA192" s="171">
        <f>+Y192</f>
        <v>0.14000000000000001</v>
      </c>
      <c r="AB192" s="173" t="str">
        <f>IFERROR(IF(AC192="","",IF(AC192&lt;=0.6,"Moderado",IF(AC192&lt;=0.8,"Mayor","Catastrófico"))),"")</f>
        <v>Catastrófico</v>
      </c>
      <c r="AC192" s="171">
        <f>IFERROR(IF(R192="Impacto",(N192-(+N192*U192)),IF(R192="Probabilidad",N192,"")),"")</f>
        <v>1</v>
      </c>
      <c r="AD192" s="174" t="str">
        <f>IFERROR(IF(OR(AND(Z192="Rara vez",AB192="Leve"),AND(Z192="Rara vez",AB192="Menor"),AND(Z192="Improbable",AB192="Leve")),"Bajo",IF(OR(AND(Z192="Rara vez",AB192="Moderado"),AND(Z192="Improbable",AB192="Menor"),AND(Z192="Improbable",AB192="Moderado"),AND(Z192="Posible",AB192="Leve"),AND(Z192="Posible",AB192="Menor"),AND(Z192="Posible",AB192="Moderado"),AND(Z192="Probable",AB192="Leve"),AND(Z192="Probable",AB192="Menor")),"Moderado",IF(OR(AND(Z192="Rara vez",AB192="Mayor"),AND(Z192="Improbable",AB192="Mayor"),AND(Z192="Posible",AB192="Mayor"),AND(Z192="Probable",AB192="Moderado"),AND(Z192="Probable",AB192="Mayor"),AND(Z192="Casi Seguro",AB192="Leve"),AND(Z192="Casi Seguro",AB192="Menor"),AND(Z192="Casi Seguro",AB192="Moderado"),AND(Z192="Casi Seguro",AB192="Mayor")),"Alto",IF(OR(AND(Z192="Rara vez",AB192="Catastrófico"),AND(Z192="Improbable",AB192="Catastrófico"),AND(Z192="Posible",AB192="Catastrófico"),AND(Z192="Probable",AB192="Catastrófico"),AND(Z192="Casi Seguro",AB192="Catastrófico")),"Extremo","")))),"")</f>
        <v>Extremo</v>
      </c>
      <c r="AE192" s="170"/>
      <c r="AF192" s="123"/>
      <c r="AG192" s="123"/>
      <c r="AH192" s="175"/>
      <c r="AI192" s="176"/>
      <c r="AJ192" s="177"/>
      <c r="AK192" s="522"/>
      <c r="AL192" s="534"/>
      <c r="AM192" s="534"/>
      <c r="AN192" s="534"/>
      <c r="AO192" s="534"/>
      <c r="AP192" s="534"/>
      <c r="AQ192" s="534"/>
      <c r="AR192" s="534"/>
      <c r="AS192" s="178"/>
      <c r="AT192" s="178"/>
      <c r="AU192" s="178"/>
      <c r="AV192" s="178"/>
      <c r="AW192" s="178"/>
      <c r="AX192" s="178"/>
      <c r="AY192" s="178"/>
      <c r="AZ192" s="178"/>
      <c r="BA192" s="178"/>
      <c r="BB192" s="178"/>
      <c r="BC192" s="178"/>
      <c r="BD192" s="178"/>
      <c r="BE192" s="178"/>
      <c r="BF192" s="178"/>
      <c r="BG192" s="178"/>
      <c r="BH192" s="178"/>
      <c r="BI192" s="178"/>
      <c r="BJ192" s="178"/>
    </row>
    <row r="193" spans="2:62" ht="140.25" x14ac:dyDescent="0.2">
      <c r="B193" s="314"/>
      <c r="C193" s="316"/>
      <c r="D193" s="317"/>
      <c r="E193" s="313"/>
      <c r="F193" s="313"/>
      <c r="G193" s="304"/>
      <c r="H193" s="305"/>
      <c r="I193" s="306"/>
      <c r="J193" s="307"/>
      <c r="K193" s="308"/>
      <c r="L193" s="307">
        <f>IF(NOT(ISERROR(MATCH(K193,_xlfn.ANCHORARRAY(G423),0))),J425&amp;"Por favor no seleccionar los criterios de impacto",K193)</f>
        <v>0</v>
      </c>
      <c r="M193" s="306"/>
      <c r="N193" s="307"/>
      <c r="O193" s="309"/>
      <c r="P193" s="168">
        <v>2</v>
      </c>
      <c r="Q193" s="129" t="s">
        <v>421</v>
      </c>
      <c r="R193" s="169" t="str">
        <f>IF(OR(S193="Preventivo",S193="Detectivo"),"Probabilidad",IF(S193="Correctivo","Impacto",""))</f>
        <v>Probabilidad</v>
      </c>
      <c r="S193" s="170" t="s">
        <v>133</v>
      </c>
      <c r="T193" s="170" t="s">
        <v>113</v>
      </c>
      <c r="U193" s="171" t="str">
        <f t="shared" ref="U193:U197" si="288">IF(AND(S193="Preventivo",T193="Automático"),"50%",IF(AND(S193="Preventivo",T193="Manual"),"40%",IF(AND(S193="Detectivo",T193="Automático"),"40%",IF(AND(S193="Detectivo",T193="Manual"),"30%",IF(AND(S193="Correctivo",T193="Automático"),"35%",IF(AND(S193="Correctivo",T193="Manual"),"25%",""))))))</f>
        <v>30%</v>
      </c>
      <c r="V193" s="170" t="s">
        <v>119</v>
      </c>
      <c r="W193" s="170" t="s">
        <v>115</v>
      </c>
      <c r="X193" s="170" t="s">
        <v>134</v>
      </c>
      <c r="Y193" s="172">
        <f>IFERROR(IF(AND(R192="Probabilidad",R193="Probabilidad"),(AA192-(+AA192*U193)),IF(R193="Probabilidad",(J192-(+J192*U193)),IF(R193="Impacto",AA192,""))),"")</f>
        <v>9.8000000000000004E-2</v>
      </c>
      <c r="Z193" s="173" t="str">
        <f t="shared" ref="Z193:Z197" si="289">IFERROR(IF(Y193="","",IF(Y193&lt;=0.2,"Rara vez",IF(Y193&lt;=0.4,"Improbable",IF(Y193&lt;=0.6,"Posible",IF(Y193&lt;=0.8,"Probable","Casi Seguro"))))),"")</f>
        <v>Rara vez</v>
      </c>
      <c r="AA193" s="171">
        <f t="shared" ref="AA193:AA197" si="290">+Y193</f>
        <v>9.8000000000000004E-2</v>
      </c>
      <c r="AB193" s="173" t="str">
        <f t="shared" ref="AB193:AB197" si="291">IFERROR(IF(AC193="","",IF(AC193&lt;=0.6,"Moderado",IF(AC193&lt;=0.8,"Mayor","Catastrófico"))),"")</f>
        <v>Catastrófico</v>
      </c>
      <c r="AC193" s="171">
        <f>IFERROR(IF(AND(R192="Impacto",R193="Impacto"),(AC192-(+AC192*U193)),IF(R193="Impacto",(N192-(+N192*U193)),IF(R193="Probabilidad",AC192,""))),"")</f>
        <v>1</v>
      </c>
      <c r="AD193" s="174" t="str">
        <f>IFERROR(IF(OR(AND(Z193="Rara vez",AB193="Leve"),AND(Z193="Rara vez",AB193="Menor"),AND(Z193="Improbable",AB193="Leve")),"Bajo",IF(OR(AND(Z193="Rara vez",AB193="Moderado"),AND(Z193="Improbable",AB193="Menor"),AND(Z193="Improbable",AB193="Moderado"),AND(Z193="Posible",AB193="Leve"),AND(Z193="Posible",AB193="Menor"),AND(Z193="Posible",AB193="Moderado"),AND(Z193="Probable",AB193="Leve"),AND(Z193="Probable",AB193="Menor")),"Moderado",IF(OR(AND(Z193="Rara vez",AB193="Mayor"),AND(Z193="Improbable",AB193="Mayor"),AND(Z193="Posible",AB193="Mayor"),AND(Z193="Probable",AB193="Moderado"),AND(Z193="Probable",AB193="Mayor"),AND(Z193="Casi Seguro",AB193="Leve"),AND(Z193="Casi Seguro",AB193="Menor"),AND(Z193="Casi Seguro",AB193="Moderado"),AND(Z193="Casi Seguro",AB193="Mayor")),"Alto",IF(OR(AND(Z193="Rara vez",AB193="Catastrófico"),AND(Z193="Improbable",AB193="Catastrófico"),AND(Z193="Posible",AB193="Catastrófico"),AND(Z193="Probable",AB193="Catastrófico"),AND(Z193="Casi Seguro",AB193="Catastrófico")),"Extremo","")))),"")</f>
        <v>Extremo</v>
      </c>
      <c r="AE193" s="170"/>
      <c r="AF193" s="132"/>
      <c r="AG193" s="194"/>
      <c r="AH193" s="195"/>
      <c r="AI193" s="176"/>
      <c r="AJ193" s="181"/>
      <c r="AK193" s="522"/>
      <c r="AL193" s="535"/>
      <c r="AM193" s="535"/>
      <c r="AN193" s="535"/>
      <c r="AO193" s="535"/>
      <c r="AP193" s="535"/>
      <c r="AQ193" s="535"/>
      <c r="AR193" s="535"/>
      <c r="AS193" s="158"/>
      <c r="AT193" s="158"/>
      <c r="AU193" s="158"/>
      <c r="AV193" s="158"/>
      <c r="AW193" s="158"/>
      <c r="AX193" s="158"/>
      <c r="AY193" s="158"/>
      <c r="AZ193" s="158"/>
      <c r="BA193" s="158"/>
      <c r="BB193" s="158"/>
      <c r="BC193" s="158"/>
      <c r="BD193" s="158"/>
      <c r="BE193" s="158"/>
      <c r="BF193" s="158"/>
      <c r="BG193" s="158"/>
      <c r="BH193" s="158"/>
      <c r="BI193" s="158"/>
      <c r="BJ193" s="158"/>
    </row>
    <row r="194" spans="2:62" ht="76.5" x14ac:dyDescent="0.2">
      <c r="B194" s="314"/>
      <c r="C194" s="316"/>
      <c r="D194" s="317"/>
      <c r="E194" s="313"/>
      <c r="F194" s="313"/>
      <c r="G194" s="304"/>
      <c r="H194" s="305"/>
      <c r="I194" s="306"/>
      <c r="J194" s="307"/>
      <c r="K194" s="308"/>
      <c r="L194" s="307">
        <f>IF(NOT(ISERROR(MATCH(K194,_xlfn.ANCHORARRAY(G424),0))),J426&amp;"Por favor no seleccionar los criterios de impacto",K194)</f>
        <v>0</v>
      </c>
      <c r="M194" s="306"/>
      <c r="N194" s="307"/>
      <c r="O194" s="309"/>
      <c r="P194" s="168">
        <v>3</v>
      </c>
      <c r="Q194" s="129" t="s">
        <v>422</v>
      </c>
      <c r="R194" s="169" t="s">
        <v>118</v>
      </c>
      <c r="S194" s="170" t="s">
        <v>133</v>
      </c>
      <c r="T194" s="170" t="s">
        <v>113</v>
      </c>
      <c r="U194" s="171" t="str">
        <f t="shared" si="288"/>
        <v>30%</v>
      </c>
      <c r="V194" s="170" t="s">
        <v>119</v>
      </c>
      <c r="W194" s="170" t="s">
        <v>115</v>
      </c>
      <c r="X194" s="170" t="s">
        <v>134</v>
      </c>
      <c r="Y194" s="172">
        <f>IFERROR(IF(AND(R193="Probabilidad",R194="Probabilidad"),(AA193-(+AA193*U194)),IF(AND(R193="Impacto",R194="Probabilidad"),(AA192-(+AA192*U194)),IF(R194="Impacto",AA193,""))),"")</f>
        <v>6.8600000000000008E-2</v>
      </c>
      <c r="Z194" s="173" t="str">
        <f t="shared" si="289"/>
        <v>Rara vez</v>
      </c>
      <c r="AA194" s="171">
        <f t="shared" si="290"/>
        <v>6.8600000000000008E-2</v>
      </c>
      <c r="AB194" s="173" t="str">
        <f t="shared" si="291"/>
        <v>Catastrófico</v>
      </c>
      <c r="AC194" s="171">
        <f>IFERROR(IF(AND(R193="Impacto",R194="Impacto"),(AC193-(+AC193*U194)),IF(AND(R193="Probabilidad",R194="Impacto"),(AC192-(+AC192*U194)),IF(R194="Probabilidad",AC193,""))),"")</f>
        <v>1</v>
      </c>
      <c r="AD194" s="174" t="str">
        <f>IFERROR(IF(OR(AND(Z194="Rara vez",AB194="Leve"),AND(Z194="Rara vez",AB194="Menor"),AND(Z194="Improbable",AB194="Leve")),"Bajo",IF(OR(AND(Z194="Rara vez",AB194="Moderado"),AND(Z194="Improbable",AB194="Menor"),AND(Z194="Improbable",AB194="Moderado"),AND(Z194="Posible",AB194="Leve"),AND(Z194="Posible",AB194="Menor"),AND(Z194="Posible",AB194="Moderado"),AND(Z194="Probable",AB194="Leve"),AND(Z194="Probable",AB194="Menor")),"Moderado",IF(OR(AND(Z194="Rara vez",AB194="Mayor"),AND(Z194="Improbable",AB194="Mayor"),AND(Z194="Posible",AB194="Mayor"),AND(Z194="Probable",AB194="Moderado"),AND(Z194="Probable",AB194="Mayor"),AND(Z194="Casi Seguro",AB194="Leve"),AND(Z194="Casi Seguro",AB194="Menor"),AND(Z194="Casi Seguro",AB194="Moderado"),AND(Z194="Casi Seguro",AB194="Mayor")),"Alto",IF(OR(AND(Z194="Rara vez",AB194="Catastrófico"),AND(Z194="Improbable",AB194="Catastrófico"),AND(Z194="Posible",AB194="Catastrófico"),AND(Z194="Probable",AB194="Catastrófico"),AND(Z194="Casi Seguro",AB194="Catastrófico")),"Extremo","")))),"")</f>
        <v>Extremo</v>
      </c>
      <c r="AE194" s="196"/>
      <c r="AF194" s="136"/>
      <c r="AG194" s="137"/>
      <c r="AH194" s="131"/>
      <c r="AI194" s="187"/>
      <c r="AJ194" s="188"/>
      <c r="AK194" s="523"/>
      <c r="AL194" s="535"/>
      <c r="AM194" s="535"/>
      <c r="AN194" s="535"/>
      <c r="AO194" s="535"/>
      <c r="AP194" s="535"/>
      <c r="AQ194" s="535"/>
      <c r="AR194" s="535"/>
      <c r="AS194" s="158"/>
      <c r="AT194" s="158"/>
      <c r="AU194" s="158"/>
      <c r="AV194" s="158"/>
      <c r="AW194" s="158"/>
      <c r="AX194" s="158"/>
      <c r="AY194" s="158"/>
      <c r="AZ194" s="158"/>
      <c r="BA194" s="158"/>
      <c r="BB194" s="158"/>
      <c r="BC194" s="158"/>
      <c r="BD194" s="158"/>
      <c r="BE194" s="158"/>
      <c r="BF194" s="158"/>
      <c r="BG194" s="158"/>
      <c r="BH194" s="158"/>
      <c r="BI194" s="158"/>
      <c r="BJ194" s="158"/>
    </row>
    <row r="195" spans="2:62" ht="76.5" x14ac:dyDescent="0.2">
      <c r="B195" s="314"/>
      <c r="C195" s="316"/>
      <c r="D195" s="317"/>
      <c r="E195" s="313"/>
      <c r="F195" s="313"/>
      <c r="G195" s="304"/>
      <c r="H195" s="305"/>
      <c r="I195" s="306"/>
      <c r="J195" s="307"/>
      <c r="K195" s="308"/>
      <c r="L195" s="307">
        <f>IF(NOT(ISERROR(MATCH(K195,_xlfn.ANCHORARRAY(G425),0))),J427&amp;"Por favor no seleccionar los criterios de impacto",K195)</f>
        <v>0</v>
      </c>
      <c r="M195" s="306"/>
      <c r="N195" s="307"/>
      <c r="O195" s="309"/>
      <c r="P195" s="168">
        <v>4</v>
      </c>
      <c r="Q195" s="129" t="s">
        <v>423</v>
      </c>
      <c r="R195" s="169" t="s">
        <v>118</v>
      </c>
      <c r="S195" s="170" t="s">
        <v>133</v>
      </c>
      <c r="T195" s="170" t="s">
        <v>113</v>
      </c>
      <c r="U195" s="171" t="str">
        <f t="shared" si="288"/>
        <v>30%</v>
      </c>
      <c r="V195" s="170" t="s">
        <v>119</v>
      </c>
      <c r="W195" s="170" t="s">
        <v>115</v>
      </c>
      <c r="X195" s="170" t="s">
        <v>134</v>
      </c>
      <c r="Y195" s="172">
        <f t="shared" ref="Y195:Y196" si="292">IFERROR(IF(AND(R194="Probabilidad",R195="Probabilidad"),(AA194-(+AA194*U195)),IF(AND(R194="Impacto",R195="Probabilidad"),(AA193-(+AA193*U195)),IF(R195="Impacto",AA194,""))),"")</f>
        <v>4.8020000000000007E-2</v>
      </c>
      <c r="Z195" s="173" t="str">
        <f t="shared" si="289"/>
        <v>Rara vez</v>
      </c>
      <c r="AA195" s="171">
        <f t="shared" si="290"/>
        <v>4.8020000000000007E-2</v>
      </c>
      <c r="AB195" s="173" t="str">
        <f t="shared" si="291"/>
        <v>Catastrófico</v>
      </c>
      <c r="AC195" s="171">
        <f t="shared" ref="AC195:AC197" si="293">IFERROR(IF(AND(R194="Impacto",R195="Impacto"),(AC194-(+AC194*U195)),IF(AND(R194="Probabilidad",R195="Impacto"),(AC193-(+AC193*U195)),IF(R195="Probabilidad",AC194,""))),"")</f>
        <v>1</v>
      </c>
      <c r="AD195" s="174" t="str">
        <f t="shared" ref="AD195:AD197" si="294">IFERROR(IF(OR(AND(Z195="Rara vez",AB195="Leve"),AND(Z195="Rara vez",AB195="Menor"),AND(Z195="Improbable",AB195="Leve")),"Bajo",IF(OR(AND(Z195="Rara vez",AB195="Moderado"),AND(Z195="Improbable",AB195="Menor"),AND(Z195="Improbable",AB195="Moderado"),AND(Z195="Posible",AB195="Leve"),AND(Z195="Posible",AB195="Menor"),AND(Z195="Posible",AB195="Moderado"),AND(Z195="Probable",AB195="Leve"),AND(Z195="Probable",AB195="Menor")),"Moderado",IF(OR(AND(Z195="Rara vez",AB195="Mayor"),AND(Z195="Improbable",AB195="Mayor"),AND(Z195="Posible",AB195="Mayor"),AND(Z195="Probable",AB195="Moderado"),AND(Z195="Probable",AB195="Mayor"),AND(Z195="Casi Seguro",AB195="Leve"),AND(Z195="Casi Seguro",AB195="Menor"),AND(Z195="Casi Seguro",AB195="Moderado"),AND(Z195="Casi Seguro",AB195="Mayor")),"Alto",IF(OR(AND(Z195="Rara vez",AB195="Catastrófico"),AND(Z195="Improbable",AB195="Catastrófico"),AND(Z195="Posible",AB195="Catastrófico"),AND(Z195="Probable",AB195="Catastrófico"),AND(Z195="Casi Seguro",AB195="Catastrófico")),"Extremo","")))),"")</f>
        <v>Extremo</v>
      </c>
      <c r="AE195" s="170"/>
      <c r="AF195" s="136"/>
      <c r="AG195" s="203"/>
      <c r="AH195" s="202"/>
      <c r="AI195" s="136"/>
      <c r="AJ195" s="200"/>
      <c r="AK195" s="525"/>
      <c r="AL195" s="535"/>
      <c r="AM195" s="535"/>
      <c r="AN195" s="535"/>
      <c r="AO195" s="535"/>
      <c r="AP195" s="535"/>
      <c r="AQ195" s="535"/>
      <c r="AR195" s="535"/>
      <c r="AS195" s="158"/>
      <c r="AT195" s="158"/>
      <c r="AU195" s="158"/>
      <c r="AV195" s="158"/>
      <c r="AW195" s="158"/>
      <c r="AX195" s="158"/>
      <c r="AY195" s="158"/>
      <c r="AZ195" s="158"/>
      <c r="BA195" s="158"/>
      <c r="BB195" s="158"/>
      <c r="BC195" s="158"/>
      <c r="BD195" s="158"/>
      <c r="BE195" s="158"/>
      <c r="BF195" s="158"/>
      <c r="BG195" s="158"/>
      <c r="BH195" s="158"/>
      <c r="BI195" s="158"/>
      <c r="BJ195" s="158"/>
    </row>
    <row r="196" spans="2:62" ht="114.75" x14ac:dyDescent="0.2">
      <c r="B196" s="314"/>
      <c r="C196" s="316"/>
      <c r="D196" s="317"/>
      <c r="E196" s="313"/>
      <c r="F196" s="313"/>
      <c r="G196" s="304"/>
      <c r="H196" s="305"/>
      <c r="I196" s="306"/>
      <c r="J196" s="307"/>
      <c r="K196" s="308"/>
      <c r="L196" s="307">
        <f>IF(NOT(ISERROR(MATCH(K196,_xlfn.ANCHORARRAY(G426),0))),J428&amp;"Por favor no seleccionar los criterios de impacto",K196)</f>
        <v>0</v>
      </c>
      <c r="M196" s="306"/>
      <c r="N196" s="307"/>
      <c r="O196" s="309"/>
      <c r="P196" s="168">
        <v>5</v>
      </c>
      <c r="Q196" s="129" t="s">
        <v>424</v>
      </c>
      <c r="R196" s="169" t="s">
        <v>118</v>
      </c>
      <c r="S196" s="170" t="s">
        <v>133</v>
      </c>
      <c r="T196" s="170" t="s">
        <v>113</v>
      </c>
      <c r="U196" s="171" t="str">
        <f t="shared" si="288"/>
        <v>30%</v>
      </c>
      <c r="V196" s="170" t="s">
        <v>119</v>
      </c>
      <c r="W196" s="170" t="s">
        <v>115</v>
      </c>
      <c r="X196" s="170" t="s">
        <v>134</v>
      </c>
      <c r="Y196" s="172">
        <f t="shared" si="292"/>
        <v>3.3614000000000005E-2</v>
      </c>
      <c r="Z196" s="173" t="str">
        <f t="shared" si="289"/>
        <v>Rara vez</v>
      </c>
      <c r="AA196" s="171">
        <f t="shared" si="290"/>
        <v>3.3614000000000005E-2</v>
      </c>
      <c r="AB196" s="173" t="str">
        <f t="shared" si="291"/>
        <v>Catastrófico</v>
      </c>
      <c r="AC196" s="171">
        <f t="shared" si="293"/>
        <v>1</v>
      </c>
      <c r="AD196" s="174" t="str">
        <f t="shared" si="294"/>
        <v>Extremo</v>
      </c>
      <c r="AE196" s="179"/>
      <c r="AF196" s="218"/>
      <c r="AG196" s="215"/>
      <c r="AH196" s="219"/>
      <c r="AI196" s="215"/>
      <c r="AJ196" s="218"/>
      <c r="AK196" s="531"/>
      <c r="AL196" s="535"/>
      <c r="AM196" s="535"/>
      <c r="AN196" s="535"/>
      <c r="AO196" s="535"/>
      <c r="AP196" s="535"/>
      <c r="AQ196" s="535"/>
      <c r="AR196" s="535"/>
      <c r="AS196" s="158"/>
      <c r="AT196" s="158"/>
      <c r="AU196" s="158"/>
      <c r="AV196" s="158"/>
      <c r="AW196" s="158"/>
      <c r="AX196" s="158"/>
      <c r="AY196" s="158"/>
      <c r="AZ196" s="158"/>
      <c r="BA196" s="158"/>
      <c r="BB196" s="158"/>
      <c r="BC196" s="158"/>
      <c r="BD196" s="158"/>
      <c r="BE196" s="158"/>
      <c r="BF196" s="158"/>
      <c r="BG196" s="158"/>
      <c r="BH196" s="158"/>
      <c r="BI196" s="158"/>
      <c r="BJ196" s="158"/>
    </row>
    <row r="197" spans="2:62" ht="76.5" x14ac:dyDescent="0.2">
      <c r="B197" s="314"/>
      <c r="C197" s="316"/>
      <c r="D197" s="317"/>
      <c r="E197" s="313"/>
      <c r="F197" s="313"/>
      <c r="G197" s="304"/>
      <c r="H197" s="305"/>
      <c r="I197" s="306"/>
      <c r="J197" s="307"/>
      <c r="K197" s="308"/>
      <c r="L197" s="307"/>
      <c r="M197" s="306"/>
      <c r="N197" s="307"/>
      <c r="O197" s="321"/>
      <c r="P197" s="230">
        <v>6</v>
      </c>
      <c r="Q197" s="134" t="s">
        <v>425</v>
      </c>
      <c r="R197" s="169" t="s">
        <v>136</v>
      </c>
      <c r="S197" s="182" t="s">
        <v>137</v>
      </c>
      <c r="T197" s="170" t="s">
        <v>113</v>
      </c>
      <c r="U197" s="171" t="str">
        <f t="shared" si="288"/>
        <v>25%</v>
      </c>
      <c r="V197" s="170" t="s">
        <v>114</v>
      </c>
      <c r="W197" s="170" t="s">
        <v>115</v>
      </c>
      <c r="X197" s="170" t="s">
        <v>134</v>
      </c>
      <c r="Y197" s="172">
        <f>IFERROR(IF(AND(R192="Probabilidad",R197="Probabilidad"),(AA192-(+AA192*U197)),IF(AND(R192="Impacto",R197="Probabilidad"),(#REF!-(+#REF!*U197)),IF(R197="Impacto",AA192,""))),"")</f>
        <v>0.14000000000000001</v>
      </c>
      <c r="Z197" s="173" t="str">
        <f t="shared" si="289"/>
        <v>Rara vez</v>
      </c>
      <c r="AA197" s="171">
        <f t="shared" si="290"/>
        <v>0.14000000000000001</v>
      </c>
      <c r="AB197" s="173" t="str">
        <f t="shared" si="291"/>
        <v>Mayor</v>
      </c>
      <c r="AC197" s="171">
        <f t="shared" si="293"/>
        <v>0.75</v>
      </c>
      <c r="AD197" s="174" t="str">
        <f t="shared" si="294"/>
        <v>Alto</v>
      </c>
      <c r="AE197" s="183" t="s">
        <v>120</v>
      </c>
      <c r="AF197" s="152" t="s">
        <v>426</v>
      </c>
      <c r="AG197" s="152" t="s">
        <v>427</v>
      </c>
      <c r="AH197" s="205">
        <v>46022</v>
      </c>
      <c r="AI197" s="220"/>
      <c r="AJ197" s="152"/>
      <c r="AK197" s="532" t="s">
        <v>123</v>
      </c>
      <c r="AL197" s="535"/>
      <c r="AM197" s="535"/>
      <c r="AN197" s="535"/>
      <c r="AO197" s="535"/>
      <c r="AP197" s="535"/>
      <c r="AQ197" s="535"/>
      <c r="AR197" s="535"/>
      <c r="AS197" s="158"/>
      <c r="AT197" s="158"/>
      <c r="AU197" s="158"/>
      <c r="AV197" s="158"/>
      <c r="AW197" s="158"/>
      <c r="AX197" s="158"/>
      <c r="AY197" s="158"/>
      <c r="AZ197" s="158"/>
      <c r="BA197" s="158"/>
      <c r="BB197" s="158"/>
      <c r="BC197" s="158"/>
      <c r="BD197" s="158"/>
      <c r="BE197" s="158"/>
      <c r="BF197" s="158"/>
      <c r="BG197" s="158"/>
      <c r="BH197" s="158"/>
      <c r="BI197" s="158"/>
      <c r="BJ197" s="158"/>
    </row>
    <row r="198" spans="2:62" s="163" customFormat="1" ht="89.25" x14ac:dyDescent="0.25">
      <c r="B198" s="318" t="s">
        <v>428</v>
      </c>
      <c r="C198" s="315" t="s">
        <v>405</v>
      </c>
      <c r="D198" s="317" t="s">
        <v>429</v>
      </c>
      <c r="E198" s="313" t="s">
        <v>127</v>
      </c>
      <c r="F198" s="313" t="s">
        <v>430</v>
      </c>
      <c r="G198" s="304" t="s">
        <v>431</v>
      </c>
      <c r="H198" s="305" t="s">
        <v>224</v>
      </c>
      <c r="I198" s="306" t="str">
        <f>IF(H198&lt;=0,"",IF(H198="No se ha presentado en los últimos 5 años","Rara vez",IF(H198="Al menos 1 vez en los últimos 5 años","Improbable",IF(H198="Al menos 1 vez en los últimos 2 años","Posible",IF(H198="Al menos 1 vez en el último año","Probable",IF(H198="Más de 1 vez al año","Casi Seguro"))))))</f>
        <v>Posible</v>
      </c>
      <c r="J198" s="307">
        <f>IF(I198="","",IF(I198="Rara vez",0.2,IF(I198="Improbable",0.4,IF(I198="Posible",0.6,IF(I198="Probable",0.8,IF(I198="Casi Seguro",1,))))))</f>
        <v>0.6</v>
      </c>
      <c r="K198" s="308" t="s">
        <v>131</v>
      </c>
      <c r="L198" s="307" t="str">
        <f>IF(NOT(ISERROR(MATCH(K198,'Tabla Impacto'!$B$220:$B$222,0))),'Tabla Impacto'!$F$222&amp;"Por favor no seleccionar los criterios de impacto(Criterios para calificar el impacto)",K198)</f>
        <v xml:space="preserve">Responder afirmativamente de DOCE a DIECINUEVE </v>
      </c>
      <c r="M198" s="306" t="str">
        <f>IF(OR(L198='Tabla Impacto'!$C$5),"Moderado",IF(OR(L198='Tabla Impacto'!$C$6),"Mayor",IF(OR(L198='Tabla Impacto'!$C$7),"Catastrófico","")))</f>
        <v>Catastrófico</v>
      </c>
      <c r="N198" s="322">
        <f>IF(M198="","",IF(M198="Leve",0.2,IF(M198="Menor",0.4,IF(M198="Moderado",0.6,IF(M198="Mayor",0.8,IF(M198="Catastrófico",1,))))))</f>
        <v>1</v>
      </c>
      <c r="O198" s="323" t="str">
        <f>IF(OR(AND(I198="Rara vez",M198="Leve"),AND(I198="Rara vez",M198="Menor"),AND(I198="Improbable",M198="Leve")),"Bajo",IF(OR(AND(I198="Rara vez",M198="Moderado"),AND(I198="Improbable",M198="Menor"),AND(I198="Improbable",M198="Moderado"),AND(I198="Posible",M198="Leve"),AND(I198="Posible",M198="Menor"),AND(I198="Posible",M198="Moderado"),AND(I198="Probable",M198="Leve"),AND(I198="Probable",M198="Menor")),"Moderado",IF(OR(AND(I198="Rara vez",M198="Mayor"),AND(I198="Improbable",M198="Mayor"),AND(I198="Posible",M198="Mayor"),AND(I198="Probable",M198="Moderado"),AND(I198="Probable",M198="Mayor"),AND(I198="Casi Seguro",M198="Leve"),AND(I198="Casi Seguro",M198="Menor"),AND(I198="Casi Seguro",M198="Moderado"),AND(I198="Casi Seguro",M198="Mayor")),"Alto",IF(OR(AND(I198="Rara vez",M198="Catastrófico"),AND(I198="Improbable",M198="Catastrófico"),AND(I198="Posible",M198="Catastrófico"),AND(I198="Probable",M198="Catastrófico"),AND(I198="Casi Seguro",M198="Catastrófico")),"Extremo",""))))</f>
        <v>Extremo</v>
      </c>
      <c r="P198" s="260">
        <v>1</v>
      </c>
      <c r="Q198" s="256" t="s">
        <v>373</v>
      </c>
      <c r="R198" s="224" t="str">
        <f>IF(OR(S198="Preventivo",S198="Detectivo"),"Probabilidad",IF(S198="Correctivo","Impacto",""))</f>
        <v>Probabilidad</v>
      </c>
      <c r="S198" s="170" t="s">
        <v>112</v>
      </c>
      <c r="T198" s="170" t="s">
        <v>113</v>
      </c>
      <c r="U198" s="171" t="str">
        <f>IF(AND(S198="Preventivo",T198="Automático"),"50%",IF(AND(S198="Preventivo",T198="Manual"),"40%",IF(AND(S198="Detectivo",T198="Automático"),"40%",IF(AND(S198="Detectivo",T198="Manual"),"30%",IF(AND(S198="Correctivo",T198="Automático"),"35%",IF(AND(S198="Correctivo",T198="Manual"),"25%",""))))))</f>
        <v>40%</v>
      </c>
      <c r="V198" s="170" t="s">
        <v>119</v>
      </c>
      <c r="W198" s="170" t="s">
        <v>115</v>
      </c>
      <c r="X198" s="170" t="s">
        <v>116</v>
      </c>
      <c r="Y198" s="172">
        <f>IFERROR(IF(R198="Probabilidad",(J198-(+J198*U198)),IF(R198="Impacto",J198,"")),"")</f>
        <v>0.36</v>
      </c>
      <c r="Z198" s="173" t="str">
        <f>IFERROR(IF(Y198="","",IF(Y198&lt;=0.2,"Rara vez",IF(Y198&lt;=0.4,"Improbable",IF(Y198&lt;=0.6,"Posible",IF(Y198&lt;=0.8,"Probable","Casi Seguro"))))),"")</f>
        <v>Improbable</v>
      </c>
      <c r="AA198" s="171">
        <f>+Y198</f>
        <v>0.36</v>
      </c>
      <c r="AB198" s="173" t="str">
        <f>IFERROR(IF(AC198="","",IF(AC198&lt;=0.6,"Moderado",IF(AC198&lt;=0.8,"Mayor","Catastrófico"))),"")</f>
        <v>Catastrófico</v>
      </c>
      <c r="AC198" s="171">
        <f>IFERROR(IF(R198="Impacto",(N198-(+N198*U198)),IF(R198="Probabilidad",N198,"")),"")</f>
        <v>1</v>
      </c>
      <c r="AD198" s="174" t="str">
        <f>IFERROR(IF(OR(AND(Z198="Rara vez",AB198="Leve"),AND(Z198="Rara vez",AB198="Menor"),AND(Z198="Improbable",AB198="Leve")),"Bajo",IF(OR(AND(Z198="Rara vez",AB198="Moderado"),AND(Z198="Improbable",AB198="Menor"),AND(Z198="Improbable",AB198="Moderado"),AND(Z198="Posible",AB198="Leve"),AND(Z198="Posible",AB198="Menor"),AND(Z198="Posible",AB198="Moderado"),AND(Z198="Probable",AB198="Leve"),AND(Z198="Probable",AB198="Menor")),"Moderado",IF(OR(AND(Z198="Rara vez",AB198="Mayor"),AND(Z198="Improbable",AB198="Mayor"),AND(Z198="Posible",AB198="Mayor"),AND(Z198="Probable",AB198="Moderado"),AND(Z198="Probable",AB198="Mayor"),AND(Z198="Casi Seguro",AB198="Leve"),AND(Z198="Casi Seguro",AB198="Menor"),AND(Z198="Casi Seguro",AB198="Moderado"),AND(Z198="Casi Seguro",AB198="Mayor")),"Alto",IF(OR(AND(Z198="Rara vez",AB198="Catastrófico"),AND(Z198="Improbable",AB198="Catastrófico"),AND(Z198="Posible",AB198="Catastrófico"),AND(Z198="Probable",AB198="Catastrófico"),AND(Z198="Casi Seguro",AB198="Catastrófico")),"Extremo","")))),"")</f>
        <v>Extremo</v>
      </c>
      <c r="AE198" s="170"/>
      <c r="AF198" s="123"/>
      <c r="AG198" s="123"/>
      <c r="AH198" s="175"/>
      <c r="AI198" s="176"/>
      <c r="AJ198" s="177"/>
      <c r="AK198" s="522"/>
      <c r="AL198" s="534"/>
      <c r="AM198" s="534"/>
      <c r="AN198" s="534"/>
      <c r="AO198" s="534"/>
      <c r="AP198" s="534"/>
      <c r="AQ198" s="534"/>
      <c r="AR198" s="534"/>
      <c r="AS198" s="178"/>
      <c r="AT198" s="178"/>
      <c r="AU198" s="178"/>
      <c r="AV198" s="178"/>
      <c r="AW198" s="178"/>
      <c r="AX198" s="178"/>
      <c r="AY198" s="178"/>
      <c r="AZ198" s="178"/>
      <c r="BA198" s="178"/>
      <c r="BB198" s="178"/>
      <c r="BC198" s="178"/>
      <c r="BD198" s="178"/>
      <c r="BE198" s="178"/>
      <c r="BF198" s="178"/>
      <c r="BG198" s="178"/>
      <c r="BH198" s="178"/>
      <c r="BI198" s="178"/>
      <c r="BJ198" s="178"/>
    </row>
    <row r="199" spans="2:62" ht="127.5" x14ac:dyDescent="0.2">
      <c r="B199" s="314"/>
      <c r="C199" s="316"/>
      <c r="D199" s="317"/>
      <c r="E199" s="313"/>
      <c r="F199" s="313"/>
      <c r="G199" s="304"/>
      <c r="H199" s="305"/>
      <c r="I199" s="306"/>
      <c r="J199" s="307"/>
      <c r="K199" s="308"/>
      <c r="L199" s="307">
        <f>IF(NOT(ISERROR(MATCH(K199,_xlfn.ANCHORARRAY(G434),0))),J436&amp;"Por favor no seleccionar los criterios de impacto",K199)</f>
        <v>0</v>
      </c>
      <c r="M199" s="306"/>
      <c r="N199" s="322"/>
      <c r="O199" s="323"/>
      <c r="P199" s="260">
        <v>2</v>
      </c>
      <c r="Q199" s="246" t="s">
        <v>374</v>
      </c>
      <c r="R199" s="224" t="str">
        <f>IF(OR(S199="Preventivo",S199="Detectivo"),"Probabilidad",IF(S199="Correctivo","Impacto",""))</f>
        <v>Probabilidad</v>
      </c>
      <c r="S199" s="170" t="s">
        <v>112</v>
      </c>
      <c r="T199" s="170" t="s">
        <v>113</v>
      </c>
      <c r="U199" s="171" t="str">
        <f t="shared" ref="U199:U200" si="295">IF(AND(S199="Preventivo",T199="Automático"),"50%",IF(AND(S199="Preventivo",T199="Manual"),"40%",IF(AND(S199="Detectivo",T199="Automático"),"40%",IF(AND(S199="Detectivo",T199="Manual"),"30%",IF(AND(S199="Correctivo",T199="Automático"),"35%",IF(AND(S199="Correctivo",T199="Manual"),"25%",""))))))</f>
        <v>40%</v>
      </c>
      <c r="V199" s="170" t="s">
        <v>119</v>
      </c>
      <c r="W199" s="170" t="s">
        <v>115</v>
      </c>
      <c r="X199" s="170" t="s">
        <v>134</v>
      </c>
      <c r="Y199" s="172">
        <f>IFERROR(IF(AND(R198="Probabilidad",R199="Probabilidad"),(AA198-(+AA198*U199)),IF(R199="Probabilidad",(J198-(+J198*U199)),IF(R199="Impacto",AA198,""))),"")</f>
        <v>0.216</v>
      </c>
      <c r="Z199" s="173" t="str">
        <f t="shared" ref="Z199:Z200" si="296">IFERROR(IF(Y199="","",IF(Y199&lt;=0.2,"Rara vez",IF(Y199&lt;=0.4,"Improbable",IF(Y199&lt;=0.6,"Posible",IF(Y199&lt;=0.8,"Probable","Casi Seguro"))))),"")</f>
        <v>Improbable</v>
      </c>
      <c r="AA199" s="171">
        <f t="shared" ref="AA199:AA200" si="297">+Y199</f>
        <v>0.216</v>
      </c>
      <c r="AB199" s="173" t="str">
        <f t="shared" ref="AB199:AB200" si="298">IFERROR(IF(AC199="","",IF(AC199&lt;=0.6,"Moderado",IF(AC199&lt;=0.8,"Mayor","Catastrófico"))),"")</f>
        <v>Catastrófico</v>
      </c>
      <c r="AC199" s="171">
        <f>IFERROR(IF(AND(R198="Impacto",R199="Impacto"),(AC198-(+AC198*U199)),IF(R199="Impacto",(N198-(+N198*U199)),IF(R199="Probabilidad",AC198,""))),"")</f>
        <v>1</v>
      </c>
      <c r="AD199" s="174" t="str">
        <f>IFERROR(IF(OR(AND(Z199="Rara vez",AB199="Leve"),AND(Z199="Rara vez",AB199="Menor"),AND(Z199="Improbable",AB199="Leve")),"Bajo",IF(OR(AND(Z199="Rara vez",AB199="Moderado"),AND(Z199="Improbable",AB199="Menor"),AND(Z199="Improbable",AB199="Moderado"),AND(Z199="Posible",AB199="Leve"),AND(Z199="Posible",AB199="Menor"),AND(Z199="Posible",AB199="Moderado"),AND(Z199="Probable",AB199="Leve"),AND(Z199="Probable",AB199="Menor")),"Moderado",IF(OR(AND(Z199="Rara vez",AB199="Mayor"),AND(Z199="Improbable",AB199="Mayor"),AND(Z199="Posible",AB199="Mayor"),AND(Z199="Probable",AB199="Moderado"),AND(Z199="Probable",AB199="Mayor"),AND(Z199="Casi Seguro",AB199="Leve"),AND(Z199="Casi Seguro",AB199="Menor"),AND(Z199="Casi Seguro",AB199="Moderado"),AND(Z199="Casi Seguro",AB199="Mayor")),"Alto",IF(OR(AND(Z199="Rara vez",AB199="Catastrófico"),AND(Z199="Improbable",AB199="Catastrófico"),AND(Z199="Posible",AB199="Catastrófico"),AND(Z199="Probable",AB199="Catastrófico"),AND(Z199="Casi Seguro",AB199="Catastrófico")),"Extremo","")))),"")</f>
        <v>Extremo</v>
      </c>
      <c r="AE199" s="232"/>
      <c r="AF199" s="132"/>
      <c r="AG199" s="194"/>
      <c r="AH199" s="195"/>
      <c r="AI199" s="195"/>
      <c r="AJ199" s="248"/>
      <c r="AK199" s="529"/>
      <c r="AL199" s="535"/>
      <c r="AM199" s="535"/>
      <c r="AN199" s="535"/>
      <c r="AO199" s="535"/>
      <c r="AP199" s="535"/>
      <c r="AQ199" s="535"/>
      <c r="AR199" s="535"/>
      <c r="AS199" s="158"/>
      <c r="AT199" s="158"/>
      <c r="AU199" s="158"/>
      <c r="AV199" s="158"/>
      <c r="AW199" s="158"/>
      <c r="AX199" s="158"/>
      <c r="AY199" s="158"/>
      <c r="AZ199" s="158"/>
      <c r="BA199" s="158"/>
      <c r="BB199" s="158"/>
      <c r="BC199" s="158"/>
      <c r="BD199" s="158"/>
      <c r="BE199" s="158"/>
      <c r="BF199" s="158"/>
      <c r="BG199" s="158"/>
      <c r="BH199" s="158"/>
      <c r="BI199" s="158"/>
      <c r="BJ199" s="158"/>
    </row>
    <row r="200" spans="2:62" ht="102" x14ac:dyDescent="0.2">
      <c r="B200" s="314"/>
      <c r="C200" s="316"/>
      <c r="D200" s="317"/>
      <c r="E200" s="313"/>
      <c r="F200" s="313"/>
      <c r="G200" s="304"/>
      <c r="H200" s="305"/>
      <c r="I200" s="306"/>
      <c r="J200" s="307"/>
      <c r="K200" s="308"/>
      <c r="L200" s="307">
        <f>IF(NOT(ISERROR(MATCH(K200,_xlfn.ANCHORARRAY(G435),0))),J437&amp;"Por favor no seleccionar los criterios de impacto",K200)</f>
        <v>0</v>
      </c>
      <c r="M200" s="306"/>
      <c r="N200" s="322"/>
      <c r="O200" s="323"/>
      <c r="P200" s="260">
        <v>3</v>
      </c>
      <c r="Q200" s="257" t="s">
        <v>432</v>
      </c>
      <c r="R200" s="169" t="s">
        <v>118</v>
      </c>
      <c r="S200" s="170" t="s">
        <v>133</v>
      </c>
      <c r="T200" s="170" t="s">
        <v>113</v>
      </c>
      <c r="U200" s="171" t="str">
        <f t="shared" si="295"/>
        <v>30%</v>
      </c>
      <c r="V200" s="170" t="s">
        <v>119</v>
      </c>
      <c r="W200" s="170" t="s">
        <v>115</v>
      </c>
      <c r="X200" s="170" t="s">
        <v>134</v>
      </c>
      <c r="Y200" s="172">
        <f>IFERROR(IF(AND(R199="Probabilidad",R200="Probabilidad"),(AA199-(+AA199*U200)),IF(AND(R199="Impacto",R200="Probabilidad"),(AA198-(+AA198*U200)),IF(R200="Impacto",AA199,""))),"")</f>
        <v>0.1512</v>
      </c>
      <c r="Z200" s="173" t="str">
        <f t="shared" si="296"/>
        <v>Rara vez</v>
      </c>
      <c r="AA200" s="171">
        <f t="shared" si="297"/>
        <v>0.1512</v>
      </c>
      <c r="AB200" s="173" t="str">
        <f t="shared" si="298"/>
        <v>Catastrófico</v>
      </c>
      <c r="AC200" s="171">
        <f>IFERROR(IF(AND(R199="Impacto",R200="Impacto"),(AC199-(+AC199*U200)),IF(AND(R199="Probabilidad",R200="Impacto"),(AC198-(+AC198*U200)),IF(R200="Probabilidad",AC199,""))),"")</f>
        <v>1</v>
      </c>
      <c r="AD200" s="247" t="str">
        <f>IFERROR(IF(OR(AND(Z200="Rara vez",AB200="Leve"),AND(Z200="Rara vez",AB200="Menor"),AND(Z200="Improbable",AB200="Leve")),"Bajo",IF(OR(AND(Z200="Rara vez",AB200="Moderado"),AND(Z200="Improbable",AB200="Menor"),AND(Z200="Improbable",AB200="Moderado"),AND(Z200="Posible",AB200="Leve"),AND(Z200="Posible",AB200="Menor"),AND(Z200="Posible",AB200="Moderado"),AND(Z200="Probable",AB200="Leve"),AND(Z200="Probable",AB200="Menor")),"Moderado",IF(OR(AND(Z200="Rara vez",AB200="Mayor"),AND(Z200="Improbable",AB200="Mayor"),AND(Z200="Posible",AB200="Mayor"),AND(Z200="Probable",AB200="Moderado"),AND(Z200="Probable",AB200="Mayor"),AND(Z200="Casi Seguro",AB200="Leve"),AND(Z200="Casi Seguro",AB200="Menor"),AND(Z200="Casi Seguro",AB200="Moderado"),AND(Z200="Casi Seguro",AB200="Mayor")),"Alto",IF(OR(AND(Z200="Rara vez",AB200="Catastrófico"),AND(Z200="Improbable",AB200="Catastrófico"),AND(Z200="Posible",AB200="Catastrófico"),AND(Z200="Probable",AB200="Catastrófico"),AND(Z200="Casi Seguro",AB200="Catastrófico")),"Extremo","")))),"")</f>
        <v>Extremo</v>
      </c>
      <c r="AE200" s="253"/>
      <c r="AF200" s="254"/>
      <c r="AG200" s="254"/>
      <c r="AH200" s="254"/>
      <c r="AI200" s="255"/>
      <c r="AJ200" s="208"/>
      <c r="AK200" s="523"/>
      <c r="AL200" s="535"/>
      <c r="AM200" s="535"/>
      <c r="AN200" s="535"/>
      <c r="AO200" s="535"/>
      <c r="AP200" s="535"/>
      <c r="AQ200" s="535"/>
      <c r="AR200" s="535"/>
      <c r="AS200" s="158"/>
      <c r="AT200" s="158"/>
      <c r="AU200" s="158"/>
      <c r="AV200" s="158"/>
      <c r="AW200" s="158"/>
      <c r="AX200" s="158"/>
      <c r="AY200" s="158"/>
      <c r="AZ200" s="158"/>
      <c r="BA200" s="158"/>
      <c r="BB200" s="158"/>
      <c r="BC200" s="158"/>
      <c r="BD200" s="158"/>
      <c r="BE200" s="158"/>
      <c r="BF200" s="158"/>
      <c r="BG200" s="158"/>
      <c r="BH200" s="158"/>
      <c r="BI200" s="158"/>
      <c r="BJ200" s="158"/>
    </row>
    <row r="201" spans="2:62" ht="140.25" x14ac:dyDescent="0.2">
      <c r="B201" s="314"/>
      <c r="C201" s="316"/>
      <c r="D201" s="317"/>
      <c r="E201" s="313"/>
      <c r="F201" s="313"/>
      <c r="G201" s="304"/>
      <c r="H201" s="305"/>
      <c r="I201" s="306"/>
      <c r="J201" s="307"/>
      <c r="K201" s="308"/>
      <c r="L201" s="307">
        <f>IF(NOT(ISERROR(MATCH(K201,_xlfn.ANCHORARRAY(G436),0))),J438&amp;"Por favor no seleccionar los criterios de impacto",K201)</f>
        <v>0</v>
      </c>
      <c r="M201" s="306"/>
      <c r="N201" s="322"/>
      <c r="O201" s="323"/>
      <c r="P201" s="260">
        <v>4</v>
      </c>
      <c r="Q201" s="258" t="s">
        <v>421</v>
      </c>
      <c r="R201" s="169" t="s">
        <v>118</v>
      </c>
      <c r="S201" s="170" t="s">
        <v>133</v>
      </c>
      <c r="T201" s="170" t="s">
        <v>113</v>
      </c>
      <c r="U201" s="171" t="str">
        <f t="shared" ref="U201:U202" si="299">IF(AND(S201="Preventivo",T201="Automático"),"50%",IF(AND(S201="Preventivo",T201="Manual"),"40%",IF(AND(S201="Detectivo",T201="Automático"),"40%",IF(AND(S201="Detectivo",T201="Manual"),"30%",IF(AND(S201="Correctivo",T201="Automático"),"35%",IF(AND(S201="Correctivo",T201="Manual"),"25%",""))))))</f>
        <v>30%</v>
      </c>
      <c r="V201" s="170" t="s">
        <v>119</v>
      </c>
      <c r="W201" s="170" t="s">
        <v>115</v>
      </c>
      <c r="X201" s="170" t="s">
        <v>134</v>
      </c>
      <c r="Y201" s="172">
        <f t="shared" ref="Y201:Y202" si="300">IFERROR(IF(AND(R200="Probabilidad",R201="Probabilidad"),(AA200-(+AA200*U201)),IF(AND(R200="Impacto",R201="Probabilidad"),(AA199-(+AA199*U201)),IF(R201="Impacto",AA200,""))),"")</f>
        <v>0.10584</v>
      </c>
      <c r="Z201" s="173" t="str">
        <f t="shared" ref="Z201:Z202" si="301">IFERROR(IF(Y201="","",IF(Y201&lt;=0.2,"Rara vez",IF(Y201&lt;=0.4,"Improbable",IF(Y201&lt;=0.6,"Posible",IF(Y201&lt;=0.8,"Probable","Casi Seguro"))))),"")</f>
        <v>Rara vez</v>
      </c>
      <c r="AA201" s="171">
        <f t="shared" ref="AA201:AA202" si="302">+Y201</f>
        <v>0.10584</v>
      </c>
      <c r="AB201" s="173" t="str">
        <f t="shared" ref="AB201:AB202" si="303">IFERROR(IF(AC201="","",IF(AC201&lt;=0.6,"Moderado",IF(AC201&lt;=0.8,"Mayor","Catastrófico"))),"")</f>
        <v>Catastrófico</v>
      </c>
      <c r="AC201" s="171">
        <f t="shared" ref="AC201:AC202" si="304">IFERROR(IF(AND(R200="Impacto",R201="Impacto"),(AC200-(+AC200*U201)),IF(AND(R200="Probabilidad",R201="Impacto"),(AC199-(+AC199*U201)),IF(R201="Probabilidad",AC200,""))),"")</f>
        <v>1</v>
      </c>
      <c r="AD201" s="174" t="str">
        <f t="shared" ref="AD201:AD202" si="305">IFERROR(IF(OR(AND(Z201="Rara vez",AB201="Leve"),AND(Z201="Rara vez",AB201="Menor"),AND(Z201="Improbable",AB201="Leve")),"Bajo",IF(OR(AND(Z201="Rara vez",AB201="Moderado"),AND(Z201="Improbable",AB201="Menor"),AND(Z201="Improbable",AB201="Moderado"),AND(Z201="Posible",AB201="Leve"),AND(Z201="Posible",AB201="Menor"),AND(Z201="Posible",AB201="Moderado"),AND(Z201="Probable",AB201="Leve"),AND(Z201="Probable",AB201="Menor")),"Moderado",IF(OR(AND(Z201="Rara vez",AB201="Mayor"),AND(Z201="Improbable",AB201="Mayor"),AND(Z201="Posible",AB201="Mayor"),AND(Z201="Probable",AB201="Moderado"),AND(Z201="Probable",AB201="Mayor"),AND(Z201="Casi Seguro",AB201="Leve"),AND(Z201="Casi Seguro",AB201="Menor"),AND(Z201="Casi Seguro",AB201="Moderado"),AND(Z201="Casi Seguro",AB201="Mayor")),"Alto",IF(OR(AND(Z201="Rara vez",AB201="Catastrófico"),AND(Z201="Improbable",AB201="Catastrófico"),AND(Z201="Posible",AB201="Catastrófico"),AND(Z201="Probable",AB201="Catastrófico"),AND(Z201="Casi Seguro",AB201="Catastrófico")),"Extremo","")))),"")</f>
        <v>Extremo</v>
      </c>
      <c r="AE201" s="249"/>
      <c r="AF201" s="141"/>
      <c r="AG201" s="250"/>
      <c r="AH201" s="251"/>
      <c r="AI201" s="141"/>
      <c r="AJ201" s="252"/>
      <c r="AK201" s="533"/>
      <c r="AL201" s="535"/>
      <c r="AM201" s="535"/>
      <c r="AN201" s="535"/>
      <c r="AO201" s="535"/>
      <c r="AP201" s="535"/>
      <c r="AQ201" s="535"/>
      <c r="AR201" s="535"/>
      <c r="AS201" s="158"/>
      <c r="AT201" s="158"/>
      <c r="AU201" s="158"/>
      <c r="AV201" s="158"/>
      <c r="AW201" s="158"/>
      <c r="AX201" s="158"/>
      <c r="AY201" s="158"/>
      <c r="AZ201" s="158"/>
      <c r="BA201" s="158"/>
      <c r="BB201" s="158"/>
      <c r="BC201" s="158"/>
      <c r="BD201" s="158"/>
      <c r="BE201" s="158"/>
      <c r="BF201" s="158"/>
      <c r="BG201" s="158"/>
      <c r="BH201" s="158"/>
      <c r="BI201" s="158"/>
      <c r="BJ201" s="158"/>
    </row>
    <row r="202" spans="2:62" ht="102" x14ac:dyDescent="0.2">
      <c r="B202" s="314"/>
      <c r="C202" s="316"/>
      <c r="D202" s="317"/>
      <c r="E202" s="313"/>
      <c r="F202" s="313"/>
      <c r="G202" s="304"/>
      <c r="H202" s="305"/>
      <c r="I202" s="306"/>
      <c r="J202" s="307"/>
      <c r="K202" s="308"/>
      <c r="L202" s="307">
        <f>IF(NOT(ISERROR(MATCH(K202,_xlfn.ANCHORARRAY(G437),0))),J439&amp;"Por favor no seleccionar los criterios de impacto",K202)</f>
        <v>0</v>
      </c>
      <c r="M202" s="306"/>
      <c r="N202" s="322"/>
      <c r="O202" s="323"/>
      <c r="P202" s="260">
        <v>5</v>
      </c>
      <c r="Q202" s="258" t="s">
        <v>433</v>
      </c>
      <c r="R202" s="169" t="s">
        <v>118</v>
      </c>
      <c r="S202" s="170" t="s">
        <v>133</v>
      </c>
      <c r="T202" s="170" t="s">
        <v>113</v>
      </c>
      <c r="U202" s="171" t="str">
        <f t="shared" si="299"/>
        <v>30%</v>
      </c>
      <c r="V202" s="170" t="s">
        <v>119</v>
      </c>
      <c r="W202" s="170" t="s">
        <v>115</v>
      </c>
      <c r="X202" s="170" t="s">
        <v>134</v>
      </c>
      <c r="Y202" s="172">
        <f t="shared" si="300"/>
        <v>7.4088000000000001E-2</v>
      </c>
      <c r="Z202" s="173" t="str">
        <f t="shared" si="301"/>
        <v>Rara vez</v>
      </c>
      <c r="AA202" s="171">
        <f t="shared" si="302"/>
        <v>7.4088000000000001E-2</v>
      </c>
      <c r="AB202" s="173" t="str">
        <f t="shared" si="303"/>
        <v>Catastrófico</v>
      </c>
      <c r="AC202" s="171">
        <f t="shared" si="304"/>
        <v>1</v>
      </c>
      <c r="AD202" s="174" t="str">
        <f t="shared" si="305"/>
        <v>Extremo</v>
      </c>
      <c r="AE202" s="196" t="s">
        <v>120</v>
      </c>
      <c r="AF202" s="136" t="s">
        <v>434</v>
      </c>
      <c r="AG202" s="136" t="s">
        <v>435</v>
      </c>
      <c r="AH202" s="202">
        <v>46022</v>
      </c>
      <c r="AI202" s="203"/>
      <c r="AJ202" s="136"/>
      <c r="AK202" s="525" t="s">
        <v>123</v>
      </c>
      <c r="AL202" s="535"/>
      <c r="AM202" s="535"/>
      <c r="AN202" s="535"/>
      <c r="AO202" s="535"/>
      <c r="AP202" s="535"/>
      <c r="AQ202" s="535"/>
      <c r="AR202" s="535"/>
      <c r="AS202" s="158"/>
      <c r="AT202" s="158"/>
      <c r="AU202" s="158"/>
      <c r="AV202" s="158"/>
      <c r="AW202" s="158"/>
      <c r="AX202" s="158"/>
      <c r="AY202" s="158"/>
      <c r="AZ202" s="158"/>
      <c r="BA202" s="158"/>
      <c r="BB202" s="158"/>
      <c r="BC202" s="158"/>
      <c r="BD202" s="158"/>
      <c r="BE202" s="158"/>
      <c r="BF202" s="158"/>
      <c r="BG202" s="158"/>
      <c r="BH202" s="158"/>
      <c r="BI202" s="158"/>
      <c r="BJ202" s="158"/>
    </row>
    <row r="203" spans="2:62" ht="9.75" customHeight="1" x14ac:dyDescent="0.2">
      <c r="B203" s="314"/>
      <c r="C203" s="316"/>
      <c r="D203" s="317"/>
      <c r="E203" s="313"/>
      <c r="F203" s="313"/>
      <c r="G203" s="304"/>
      <c r="H203" s="305"/>
      <c r="I203" s="306"/>
      <c r="J203" s="307"/>
      <c r="K203" s="308"/>
      <c r="L203" s="307"/>
      <c r="M203" s="306"/>
      <c r="N203" s="322"/>
      <c r="O203" s="323"/>
      <c r="P203" s="260">
        <v>6</v>
      </c>
      <c r="Q203" s="258"/>
      <c r="R203" s="169"/>
      <c r="S203" s="182"/>
      <c r="T203" s="170"/>
      <c r="U203" s="171"/>
      <c r="V203" s="170"/>
      <c r="W203" s="170"/>
      <c r="X203" s="170"/>
      <c r="Y203" s="172"/>
      <c r="Z203" s="173"/>
      <c r="AA203" s="171"/>
      <c r="AB203" s="173"/>
      <c r="AC203" s="171"/>
      <c r="AD203" s="174"/>
      <c r="AE203" s="179"/>
      <c r="AF203" s="136"/>
      <c r="AG203" s="203"/>
      <c r="AH203" s="202"/>
      <c r="AI203" s="203"/>
      <c r="AJ203" s="200"/>
      <c r="AK203" s="204"/>
      <c r="AL203" s="535"/>
      <c r="AM203" s="535"/>
      <c r="AN203" s="535"/>
      <c r="AO203" s="535"/>
      <c r="AP203" s="535"/>
      <c r="AQ203" s="535"/>
      <c r="AR203" s="535"/>
      <c r="AS203" s="158"/>
      <c r="AT203" s="158"/>
      <c r="AU203" s="158"/>
      <c r="AV203" s="158"/>
      <c r="AW203" s="158"/>
      <c r="AX203" s="158"/>
      <c r="AY203" s="158"/>
      <c r="AZ203" s="158"/>
      <c r="BA203" s="158"/>
      <c r="BB203" s="158"/>
      <c r="BC203" s="158"/>
      <c r="BD203" s="158"/>
      <c r="BE203" s="158"/>
      <c r="BF203" s="158"/>
      <c r="BG203" s="158"/>
      <c r="BH203" s="158"/>
      <c r="BI203" s="158"/>
      <c r="BJ203" s="158"/>
    </row>
    <row r="204" spans="2:62" s="163" customFormat="1" ht="102" x14ac:dyDescent="0.25">
      <c r="B204" s="310" t="s">
        <v>436</v>
      </c>
      <c r="C204" s="311" t="s">
        <v>405</v>
      </c>
      <c r="D204" s="312" t="s">
        <v>437</v>
      </c>
      <c r="E204" s="313" t="s">
        <v>127</v>
      </c>
      <c r="F204" s="313" t="s">
        <v>438</v>
      </c>
      <c r="G204" s="304" t="s">
        <v>439</v>
      </c>
      <c r="H204" s="305" t="s">
        <v>109</v>
      </c>
      <c r="I204" s="306" t="str">
        <f>IF(H204&lt;=0,"",IF(H204="No se ha presentado en los últimos 5 años","Rara vez",IF(H204="Al menos 1 vez en los últimos 5 años","Improbable",IF(H204="Al menos 1 vez en los últimos 2 años","Posible",IF(H204="Al menos 1 vez en el último año","Probable",IF(H204="Más de 1 vez al año","Casi Seguro"))))))</f>
        <v>Rara vez</v>
      </c>
      <c r="J204" s="307">
        <f>IF(I204="","",IF(I204="Rara vez",0.2,IF(I204="Improbable",0.4,IF(I204="Posible",0.6,IF(I204="Probable",0.8,IF(I204="Casi Seguro",1,))))))</f>
        <v>0.2</v>
      </c>
      <c r="K204" s="308" t="s">
        <v>110</v>
      </c>
      <c r="L204" s="307" t="str">
        <f>IF(NOT(ISERROR(MATCH(K204,'Tabla Impacto'!$B$220:$B$222,0))),'Tabla Impacto'!$F$222&amp;"Por favor no seleccionar los criterios de impacto(Criterios para calificar el impacto)",K204)</f>
        <v>Responder afirmativamente de SEIS a ONCE</v>
      </c>
      <c r="M204" s="306" t="str">
        <f>IF(OR(L204='Tabla Impacto'!$C$5),"Moderado",IF(OR(L204='Tabla Impacto'!$C$6),"Mayor",IF(OR(L204='Tabla Impacto'!$C$7),"Catastrófico","")))</f>
        <v>Mayor</v>
      </c>
      <c r="N204" s="307">
        <f>IF(M204="","",IF(M204="Leve",0.2,IF(M204="Menor",0.4,IF(M204="Moderado",0.6,IF(M204="Mayor",0.8,IF(M204="Catastrófico",1,))))))</f>
        <v>0.8</v>
      </c>
      <c r="O204" s="319" t="str">
        <f>IF(OR(AND(I204="Rara vez",M204="Leve"),AND(I204="Rara vez",M204="Menor"),AND(I204="Improbable",M204="Leve")),"Bajo",IF(OR(AND(I204="Rara vez",M204="Moderado"),AND(I204="Improbable",M204="Menor"),AND(I204="Improbable",M204="Moderado"),AND(I204="Posible",M204="Leve"),AND(I204="Posible",M204="Menor"),AND(I204="Posible",M204="Moderado"),AND(I204="Probable",M204="Leve"),AND(I204="Probable",M204="Menor")),"Moderado",IF(OR(AND(I204="Rara vez",M204="Mayor"),AND(I204="Improbable",M204="Mayor"),AND(I204="Posible",M204="Mayor"),AND(I204="Probable",M204="Moderado"),AND(I204="Probable",M204="Mayor"),AND(I204="Casi Seguro",M204="Leve"),AND(I204="Casi Seguro",M204="Menor"),AND(I204="Casi Seguro",M204="Moderado"),AND(I204="Casi Seguro",M204="Mayor")),"Alto",IF(OR(AND(I204="Rara vez",M204="Catastrófico"),AND(I204="Improbable",M204="Catastrófico"),AND(I204="Posible",M204="Catastrófico"),AND(I204="Probable",M204="Catastrófico"),AND(I204="Casi Seguro",M204="Catastrófico")),"Extremo",""))))</f>
        <v>Alto</v>
      </c>
      <c r="P204" s="259">
        <v>1</v>
      </c>
      <c r="Q204" s="129" t="s">
        <v>440</v>
      </c>
      <c r="R204" s="169" t="str">
        <f>IF(OR(S204="Preventivo",S204="Detectivo"),"Probabilidad",IF(S204="Correctivo","Impacto",""))</f>
        <v>Probabilidad</v>
      </c>
      <c r="S204" s="170" t="s">
        <v>112</v>
      </c>
      <c r="T204" s="170" t="s">
        <v>113</v>
      </c>
      <c r="U204" s="171" t="str">
        <f>IF(AND(S204="Preventivo",T204="Automático"),"50%",IF(AND(S204="Preventivo",T204="Manual"),"40%",IF(AND(S204="Detectivo",T204="Automático"),"40%",IF(AND(S204="Detectivo",T204="Manual"),"30%",IF(AND(S204="Correctivo",T204="Automático"),"35%",IF(AND(S204="Correctivo",T204="Manual"),"25%",""))))))</f>
        <v>40%</v>
      </c>
      <c r="V204" s="170" t="s">
        <v>114</v>
      </c>
      <c r="W204" s="170" t="s">
        <v>115</v>
      </c>
      <c r="X204" s="170" t="s">
        <v>134</v>
      </c>
      <c r="Y204" s="172">
        <f>IFERROR(IF(R204="Probabilidad",(J204-(+J204*U204)),IF(R204="Impacto",J204,"")),"")</f>
        <v>0.12</v>
      </c>
      <c r="Z204" s="173" t="str">
        <f>IFERROR(IF(Y204="","",IF(Y204&lt;=0.2,"Rara vez",IF(Y204&lt;=0.4,"Improbable",IF(Y204&lt;=0.6,"Posible",IF(Y204&lt;=0.8,"Probable","Casi Seguro"))))),"")</f>
        <v>Rara vez</v>
      </c>
      <c r="AA204" s="171">
        <f>+Y204</f>
        <v>0.12</v>
      </c>
      <c r="AB204" s="173" t="str">
        <f>IFERROR(IF(AC204="","",IF(AC204&lt;=0.6,"Moderado",IF(AC204&lt;=0.8,"Mayor","Catastrófico"))),"")</f>
        <v>Mayor</v>
      </c>
      <c r="AC204" s="171">
        <f>IFERROR(IF(R204="Impacto",(N204-(+N204*U204)),IF(R204="Probabilidad",N204,"")),"")</f>
        <v>0.8</v>
      </c>
      <c r="AD204" s="174" t="str">
        <f t="shared" ref="AD204:AD209" si="306">IFERROR(IF(OR(AND(Z204="Rara vez",AB204="Leve"),AND(Z204="Rara vez",AB204="Menor"),AND(Z204="Improbable",AB204="Leve")),"Bajo",IF(OR(AND(Z204="Rara vez",AB204="Moderado"),AND(Z204="Improbable",AB204="Menor"),AND(Z204="Improbable",AB204="Moderado"),AND(Z204="Posible",AB204="Leve"),AND(Z204="Posible",AB204="Menor"),AND(Z204="Posible",AB204="Moderado"),AND(Z204="Probable",AB204="Leve"),AND(Z204="Probable",AB204="Menor")),"Moderado",IF(OR(AND(Z204="Rara vez",AB204="Mayor"),AND(Z204="Improbable",AB204="Mayor"),AND(Z204="Posible",AB204="Mayor"),AND(Z204="Probable",AB204="Moderado"),AND(Z204="Probable",AB204="Mayor"),AND(Z204="Casi Seguro",AB204="Leve"),AND(Z204="Casi Seguro",AB204="Menor"),AND(Z204="Casi Seguro",AB204="Moderado"),AND(Z204="Casi Seguro",AB204="Mayor")),"Alto",IF(OR(AND(Z204="Rara vez",AB204="Catastrófico"),AND(Z204="Improbable",AB204="Catastrófico"),AND(Z204="Posible",AB204="Catastrófico"),AND(Z204="Probable",AB204="Catastrófico"),AND(Z204="Casi Seguro",AB204="Catastrófico")),"Extremo","")))),"")</f>
        <v>Alto</v>
      </c>
      <c r="AE204" s="170"/>
      <c r="AF204" s="123"/>
      <c r="AG204" s="123"/>
      <c r="AH204" s="175"/>
      <c r="AI204" s="176"/>
      <c r="AJ204" s="177"/>
      <c r="AK204" s="522"/>
      <c r="AL204" s="534"/>
      <c r="AM204" s="534"/>
      <c r="AN204" s="534"/>
      <c r="AO204" s="534"/>
      <c r="AP204" s="534"/>
      <c r="AQ204" s="534"/>
      <c r="AR204" s="534"/>
      <c r="AS204" s="178"/>
      <c r="AT204" s="178"/>
      <c r="AU204" s="178"/>
      <c r="AV204" s="178"/>
      <c r="AW204" s="178"/>
      <c r="AX204" s="178"/>
      <c r="AY204" s="178"/>
      <c r="AZ204" s="178"/>
      <c r="BA204" s="178"/>
      <c r="BB204" s="178"/>
      <c r="BC204" s="178"/>
      <c r="BD204" s="178"/>
      <c r="BE204" s="178"/>
      <c r="BF204" s="178"/>
      <c r="BG204" s="178"/>
      <c r="BH204" s="178"/>
      <c r="BI204" s="178"/>
      <c r="BJ204" s="178"/>
    </row>
    <row r="205" spans="2:62" ht="75" x14ac:dyDescent="0.2">
      <c r="B205" s="310"/>
      <c r="C205" s="311"/>
      <c r="D205" s="312"/>
      <c r="E205" s="313"/>
      <c r="F205" s="313"/>
      <c r="G205" s="304"/>
      <c r="H205" s="305"/>
      <c r="I205" s="306"/>
      <c r="J205" s="307"/>
      <c r="K205" s="308"/>
      <c r="L205" s="307">
        <f>IF(NOT(ISERROR(MATCH(K205,_xlfn.ANCHORARRAY(G457),0))),J459&amp;"Por favor no seleccionar los criterios de impacto",K205)</f>
        <v>0</v>
      </c>
      <c r="M205" s="306"/>
      <c r="N205" s="307"/>
      <c r="O205" s="309"/>
      <c r="P205" s="168">
        <v>2</v>
      </c>
      <c r="Q205" s="129" t="s">
        <v>441</v>
      </c>
      <c r="R205" s="169" t="str">
        <f>IF(OR(S205="Preventivo",S205="Detectivo"),"Probabilidad",IF(S205="Correctivo","Impacto",""))</f>
        <v>Probabilidad</v>
      </c>
      <c r="S205" s="170" t="s">
        <v>112</v>
      </c>
      <c r="T205" s="170" t="s">
        <v>113</v>
      </c>
      <c r="U205" s="171" t="str">
        <f t="shared" ref="U205:U206" si="307">IF(AND(S205="Preventivo",T205="Automático"),"50%",IF(AND(S205="Preventivo",T205="Manual"),"40%",IF(AND(S205="Detectivo",T205="Automático"),"40%",IF(AND(S205="Detectivo",T205="Manual"),"30%",IF(AND(S205="Correctivo",T205="Automático"),"35%",IF(AND(S205="Correctivo",T205="Manual"),"25%",""))))))</f>
        <v>40%</v>
      </c>
      <c r="V205" s="170" t="s">
        <v>114</v>
      </c>
      <c r="W205" s="170" t="s">
        <v>115</v>
      </c>
      <c r="X205" s="170" t="s">
        <v>134</v>
      </c>
      <c r="Y205" s="172">
        <f>IFERROR(IF(AND(R204="Probabilidad",R205="Probabilidad"),(AA204-(+AA204*U205)),IF(R205="Probabilidad",(J204-(+J204*U205)),IF(R205="Impacto",AA204,""))),"")</f>
        <v>7.1999999999999995E-2</v>
      </c>
      <c r="Z205" s="173" t="str">
        <f t="shared" ref="Z205:Z206" si="308">IFERROR(IF(Y205="","",IF(Y205&lt;=0.2,"Rara vez",IF(Y205&lt;=0.4,"Improbable",IF(Y205&lt;=0.6,"Posible",IF(Y205&lt;=0.8,"Probable","Casi Seguro"))))),"")</f>
        <v>Rara vez</v>
      </c>
      <c r="AA205" s="171">
        <f t="shared" ref="AA205:AA206" si="309">+Y205</f>
        <v>7.1999999999999995E-2</v>
      </c>
      <c r="AB205" s="173" t="str">
        <f t="shared" ref="AB205:AB206" si="310">IFERROR(IF(AC205="","",IF(AC205&lt;=0.6,"Moderado",IF(AC205&lt;=0.8,"Mayor","Catastrófico"))),"")</f>
        <v>Mayor</v>
      </c>
      <c r="AC205" s="171">
        <f>IFERROR(IF(AND(R204="Impacto",R205="Impacto"),(AC204-(+AC204*U205)),IF(R205="Impacto",(N204-(+N204*U205)),IF(R205="Probabilidad",AC204,""))),"")</f>
        <v>0.8</v>
      </c>
      <c r="AD205" s="174" t="str">
        <f t="shared" si="306"/>
        <v>Alto</v>
      </c>
      <c r="AE205" s="170"/>
      <c r="AF205" s="132"/>
      <c r="AG205" s="194"/>
      <c r="AH205" s="195"/>
      <c r="AI205" s="195"/>
      <c r="AJ205" s="181"/>
      <c r="AK205" s="522"/>
      <c r="AL205" s="535"/>
      <c r="AM205" s="535"/>
      <c r="AN205" s="535"/>
      <c r="AO205" s="535"/>
      <c r="AP205" s="535"/>
      <c r="AQ205" s="535"/>
      <c r="AR205" s="535"/>
      <c r="AS205" s="158"/>
      <c r="AT205" s="158"/>
      <c r="AU205" s="158"/>
      <c r="AV205" s="158"/>
      <c r="AW205" s="158"/>
      <c r="AX205" s="158"/>
      <c r="AY205" s="158"/>
      <c r="AZ205" s="158"/>
      <c r="BA205" s="158"/>
      <c r="BB205" s="158"/>
      <c r="BC205" s="158"/>
      <c r="BD205" s="158"/>
      <c r="BE205" s="158"/>
      <c r="BF205" s="158"/>
      <c r="BG205" s="158"/>
      <c r="BH205" s="158"/>
      <c r="BI205" s="158"/>
      <c r="BJ205" s="158"/>
    </row>
    <row r="206" spans="2:62" ht="76.5" x14ac:dyDescent="0.2">
      <c r="B206" s="310"/>
      <c r="C206" s="311"/>
      <c r="D206" s="312"/>
      <c r="E206" s="313"/>
      <c r="F206" s="313"/>
      <c r="G206" s="304"/>
      <c r="H206" s="305"/>
      <c r="I206" s="306"/>
      <c r="J206" s="307"/>
      <c r="K206" s="308"/>
      <c r="L206" s="307">
        <f>IF(NOT(ISERROR(MATCH(K206,_xlfn.ANCHORARRAY(G458),0))),J460&amp;"Por favor no seleccionar los criterios de impacto",K206)</f>
        <v>0</v>
      </c>
      <c r="M206" s="306"/>
      <c r="N206" s="307"/>
      <c r="O206" s="309"/>
      <c r="P206" s="168">
        <v>3</v>
      </c>
      <c r="Q206" s="129" t="s">
        <v>442</v>
      </c>
      <c r="R206" s="169" t="s">
        <v>136</v>
      </c>
      <c r="S206" s="182" t="s">
        <v>137</v>
      </c>
      <c r="T206" s="170" t="s">
        <v>113</v>
      </c>
      <c r="U206" s="171" t="str">
        <f t="shared" si="307"/>
        <v>25%</v>
      </c>
      <c r="V206" s="170" t="s">
        <v>114</v>
      </c>
      <c r="W206" s="170" t="s">
        <v>115</v>
      </c>
      <c r="X206" s="170" t="s">
        <v>134</v>
      </c>
      <c r="Y206" s="172">
        <f>IFERROR(IF(AND(R205="Probabilidad",R206="Probabilidad"),(AA205-(+AA205*U206)),IF(AND(R205="Impacto",R206="Probabilidad"),(AA204-(+AA204*U206)),IF(R206="Impacto",AA205,""))),"")</f>
        <v>7.1999999999999995E-2</v>
      </c>
      <c r="Z206" s="173" t="str">
        <f t="shared" si="308"/>
        <v>Rara vez</v>
      </c>
      <c r="AA206" s="171">
        <f t="shared" si="309"/>
        <v>7.1999999999999995E-2</v>
      </c>
      <c r="AB206" s="173" t="str">
        <f t="shared" si="310"/>
        <v>Moderado</v>
      </c>
      <c r="AC206" s="171">
        <f>IFERROR(IF(AND(R205="Impacto",R206="Impacto"),(AC205-(+AC205*U206)),IF(AND(R205="Probabilidad",R206="Impacto"),(AC204-(+AC204*U206)),IF(R206="Probabilidad",AC205,""))),"")</f>
        <v>0.60000000000000009</v>
      </c>
      <c r="AD206" s="174" t="str">
        <f t="shared" si="306"/>
        <v>Moderado</v>
      </c>
      <c r="AE206" s="196" t="s">
        <v>120</v>
      </c>
      <c r="AF206" s="136" t="s">
        <v>443</v>
      </c>
      <c r="AG206" s="203" t="s">
        <v>444</v>
      </c>
      <c r="AH206" s="202">
        <v>45930</v>
      </c>
      <c r="AI206" s="208"/>
      <c r="AJ206" s="209"/>
      <c r="AK206" s="523" t="s">
        <v>123</v>
      </c>
      <c r="AL206" s="535"/>
      <c r="AM206" s="535"/>
      <c r="AN206" s="535"/>
      <c r="AO206" s="535"/>
      <c r="AP206" s="535"/>
      <c r="AQ206" s="535"/>
      <c r="AR206" s="535"/>
      <c r="AS206" s="158"/>
      <c r="AT206" s="158"/>
      <c r="AU206" s="158"/>
      <c r="AV206" s="158"/>
      <c r="AW206" s="158"/>
      <c r="AX206" s="158"/>
      <c r="AY206" s="158"/>
      <c r="AZ206" s="158"/>
      <c r="BA206" s="158"/>
      <c r="BB206" s="158"/>
      <c r="BC206" s="158"/>
      <c r="BD206" s="158"/>
      <c r="BE206" s="158"/>
      <c r="BF206" s="158"/>
      <c r="BG206" s="158"/>
      <c r="BH206" s="158"/>
      <c r="BI206" s="158"/>
      <c r="BJ206" s="158"/>
    </row>
    <row r="207" spans="2:62" s="163" customFormat="1" ht="129" customHeight="1" x14ac:dyDescent="0.25">
      <c r="B207" s="314" t="s">
        <v>445</v>
      </c>
      <c r="C207" s="315" t="s">
        <v>446</v>
      </c>
      <c r="D207" s="317" t="s">
        <v>447</v>
      </c>
      <c r="E207" s="313" t="s">
        <v>127</v>
      </c>
      <c r="F207" s="313" t="s">
        <v>170</v>
      </c>
      <c r="G207" s="304" t="s">
        <v>448</v>
      </c>
      <c r="H207" s="305" t="s">
        <v>109</v>
      </c>
      <c r="I207" s="306" t="str">
        <f>IF(H207&lt;=0,"",IF(H207="No se ha presentado en los últimos 5 años","Rara vez",IF(H207="Al menos 1 vez en los últimos 5 años","Improbable",IF(H207="Al menos 1 vez en los últimos 2 años","Posible",IF(H207="Al menos 1 vez en el último año","Probable",IF(H207="Más de 1 vez al año","Casi Seguro"))))))</f>
        <v>Rara vez</v>
      </c>
      <c r="J207" s="307">
        <f>IF(I207="","",IF(I207="Rara vez",0.2,IF(I207="Improbable",0.4,IF(I207="Posible",0.6,IF(I207="Probable",0.8,IF(I207="Casi Seguro",1,))))))</f>
        <v>0.2</v>
      </c>
      <c r="K207" s="308" t="s">
        <v>131</v>
      </c>
      <c r="L207" s="307" t="str">
        <f>IF(NOT(ISERROR(MATCH(K207,'Tabla Impacto'!$B$220:$B$222,0))),'Tabla Impacto'!$F$222&amp;"Por favor no seleccionar los criterios de impacto(Criterios para calificar el impacto)",K207)</f>
        <v xml:space="preserve">Responder afirmativamente de DOCE a DIECINUEVE </v>
      </c>
      <c r="M207" s="306" t="str">
        <f>IF(OR(L207='Tabla Impacto'!$C$5),"Moderado",IF(OR(L207='Tabla Impacto'!$C$6),"Mayor",IF(OR(L207='Tabla Impacto'!$C$7),"Catastrófico","")))</f>
        <v>Catastrófico</v>
      </c>
      <c r="N207" s="307">
        <f>IF(M207="","",IF(M207="Leve",0.2,IF(M207="Menor",0.4,IF(M207="Moderado",0.6,IF(M207="Mayor",0.8,IF(M207="Catastrófico",1,))))))</f>
        <v>1</v>
      </c>
      <c r="O207" s="309" t="str">
        <f>IF(OR(AND(I207="Rara vez",M207="Leve"),AND(I207="Rara vez",M207="Menor"),AND(I207="Improbable",M207="Leve")),"Bajo",IF(OR(AND(I207="Rara vez",M207="Moderado"),AND(I207="Improbable",M207="Menor"),AND(I207="Improbable",M207="Moderado"),AND(I207="Posible",M207="Leve"),AND(I207="Posible",M207="Menor"),AND(I207="Posible",M207="Moderado"),AND(I207="Probable",M207="Leve"),AND(I207="Probable",M207="Menor")),"Moderado",IF(OR(AND(I207="Rara vez",M207="Mayor"),AND(I207="Improbable",M207="Mayor"),AND(I207="Posible",M207="Mayor"),AND(I207="Probable",M207="Moderado"),AND(I207="Probable",M207="Mayor"),AND(I207="Casi Seguro",M207="Leve"),AND(I207="Casi Seguro",M207="Menor"),AND(I207="Casi Seguro",M207="Moderado"),AND(I207="Casi Seguro",M207="Mayor")),"Alto",IF(OR(AND(I207="Rara vez",M207="Catastrófico"),AND(I207="Improbable",M207="Catastrófico"),AND(I207="Posible",M207="Catastrófico"),AND(I207="Probable",M207="Catastrófico"),AND(I207="Casi Seguro",M207="Catastrófico")),"Extremo",""))))</f>
        <v>Extremo</v>
      </c>
      <c r="P207" s="168">
        <v>1</v>
      </c>
      <c r="Q207" s="129" t="s">
        <v>449</v>
      </c>
      <c r="R207" s="169" t="str">
        <f>IF(OR(S207="Preventivo",S207="Detectivo"),"Probabilidad",IF(S207="Correctivo","Impacto",""))</f>
        <v>Probabilidad</v>
      </c>
      <c r="S207" s="170" t="s">
        <v>112</v>
      </c>
      <c r="T207" s="170" t="s">
        <v>113</v>
      </c>
      <c r="U207" s="171" t="str">
        <f>IF(AND(S207="Preventivo",T207="Automático"),"50%",IF(AND(S207="Preventivo",T207="Manual"),"40%",IF(AND(S207="Detectivo",T207="Automático"),"40%",IF(AND(S207="Detectivo",T207="Manual"),"30%",IF(AND(S207="Correctivo",T207="Automático"),"35%",IF(AND(S207="Correctivo",T207="Manual"),"25%",""))))))</f>
        <v>40%</v>
      </c>
      <c r="V207" s="170" t="s">
        <v>114</v>
      </c>
      <c r="W207" s="170" t="s">
        <v>115</v>
      </c>
      <c r="X207" s="170" t="s">
        <v>134</v>
      </c>
      <c r="Y207" s="172">
        <f>IFERROR(IF(R207="Probabilidad",(J207-(+J207*U207)),IF(R207="Impacto",J207,"")),"")</f>
        <v>0.12</v>
      </c>
      <c r="Z207" s="173" t="str">
        <f>IFERROR(IF(Y207="","",IF(Y207&lt;=0.2,"Rara vez",IF(Y207&lt;=0.4,"Improbable",IF(Y207&lt;=0.6,"Posible",IF(Y207&lt;=0.8,"Probable","Casi Seguro"))))),"")</f>
        <v>Rara vez</v>
      </c>
      <c r="AA207" s="171">
        <f>+Y207</f>
        <v>0.12</v>
      </c>
      <c r="AB207" s="173" t="str">
        <f>IFERROR(IF(AC207="","",IF(AC207&lt;=0.6,"Moderado",IF(AC207&lt;=0.8,"Mayor","Catastrófico"))),"")</f>
        <v>Catastrófico</v>
      </c>
      <c r="AC207" s="171">
        <f>IFERROR(IF(R207="Impacto",(N207-(+N207*U207)),IF(R207="Probabilidad",N207,"")),"")</f>
        <v>1</v>
      </c>
      <c r="AD207" s="174" t="str">
        <f t="shared" si="306"/>
        <v>Extremo</v>
      </c>
      <c r="AE207" s="170"/>
      <c r="AF207" s="123"/>
      <c r="AG207" s="123"/>
      <c r="AH207" s="175"/>
      <c r="AI207" s="176"/>
      <c r="AJ207" s="177"/>
      <c r="AK207" s="522"/>
      <c r="AL207" s="534"/>
      <c r="AM207" s="534"/>
      <c r="AN207" s="534"/>
      <c r="AO207" s="534"/>
      <c r="AP207" s="534"/>
      <c r="AQ207" s="534"/>
      <c r="AR207" s="534"/>
      <c r="AS207" s="178"/>
      <c r="AT207" s="178"/>
      <c r="AU207" s="178"/>
      <c r="AV207" s="178"/>
      <c r="AW207" s="178"/>
      <c r="AX207" s="178"/>
      <c r="AY207" s="178"/>
      <c r="AZ207" s="178"/>
      <c r="BA207" s="178"/>
      <c r="BB207" s="178"/>
      <c r="BC207" s="178"/>
      <c r="BD207" s="178"/>
      <c r="BE207" s="178"/>
      <c r="BF207" s="178"/>
      <c r="BG207" s="178"/>
      <c r="BH207" s="178"/>
      <c r="BI207" s="178"/>
      <c r="BJ207" s="178"/>
    </row>
    <row r="208" spans="2:62" ht="75" x14ac:dyDescent="0.2">
      <c r="B208" s="314"/>
      <c r="C208" s="316"/>
      <c r="D208" s="317"/>
      <c r="E208" s="313"/>
      <c r="F208" s="313"/>
      <c r="G208" s="304"/>
      <c r="H208" s="305"/>
      <c r="I208" s="306"/>
      <c r="J208" s="307"/>
      <c r="K208" s="308"/>
      <c r="L208" s="307">
        <f>IF(NOT(ISERROR(MATCH(K208,_xlfn.ANCHORARRAY(G455),0))),J457&amp;"Por favor no seleccionar los criterios de impacto",K208)</f>
        <v>0</v>
      </c>
      <c r="M208" s="306"/>
      <c r="N208" s="307"/>
      <c r="O208" s="309"/>
      <c r="P208" s="168">
        <v>2</v>
      </c>
      <c r="Q208" s="129" t="s">
        <v>450</v>
      </c>
      <c r="R208" s="169" t="str">
        <f>IF(OR(S208="Preventivo",S208="Detectivo"),"Probabilidad",IF(S208="Correctivo","Impacto",""))</f>
        <v>Probabilidad</v>
      </c>
      <c r="S208" s="170" t="s">
        <v>133</v>
      </c>
      <c r="T208" s="170" t="s">
        <v>113</v>
      </c>
      <c r="U208" s="171" t="str">
        <f t="shared" ref="U208:U210" si="311">IF(AND(S208="Preventivo",T208="Automático"),"50%",IF(AND(S208="Preventivo",T208="Manual"),"40%",IF(AND(S208="Detectivo",T208="Automático"),"40%",IF(AND(S208="Detectivo",T208="Manual"),"30%",IF(AND(S208="Correctivo",T208="Automático"),"35%",IF(AND(S208="Correctivo",T208="Manual"),"25%",""))))))</f>
        <v>30%</v>
      </c>
      <c r="V208" s="170" t="s">
        <v>114</v>
      </c>
      <c r="W208" s="170" t="s">
        <v>115</v>
      </c>
      <c r="X208" s="170" t="s">
        <v>116</v>
      </c>
      <c r="Y208" s="172">
        <f>IFERROR(IF(AND(R207="Probabilidad",R208="Probabilidad"),(AA207-(+AA207*U208)),IF(R208="Probabilidad",(J207-(+J207*U208)),IF(R208="Impacto",AA207,""))),"")</f>
        <v>8.3999999999999991E-2</v>
      </c>
      <c r="Z208" s="173" t="str">
        <f t="shared" ref="Z208:Z210" si="312">IFERROR(IF(Y208="","",IF(Y208&lt;=0.2,"Rara vez",IF(Y208&lt;=0.4,"Improbable",IF(Y208&lt;=0.6,"Posible",IF(Y208&lt;=0.8,"Probable","Casi Seguro"))))),"")</f>
        <v>Rara vez</v>
      </c>
      <c r="AA208" s="171">
        <f t="shared" ref="AA208:AA210" si="313">+Y208</f>
        <v>8.3999999999999991E-2</v>
      </c>
      <c r="AB208" s="173" t="str">
        <f t="shared" ref="AB208:AB210" si="314">IFERROR(IF(AC208="","",IF(AC208&lt;=0.6,"Moderado",IF(AC208&lt;=0.8,"Mayor","Catastrófico"))),"")</f>
        <v>Catastrófico</v>
      </c>
      <c r="AC208" s="171">
        <f>IFERROR(IF(AND(R207="Impacto",R208="Impacto"),(AC207-(+AC207*U208)),IF(R208="Impacto",(N207-(+N207*U208)),IF(R208="Probabilidad",AC207,""))),"")</f>
        <v>1</v>
      </c>
      <c r="AD208" s="174" t="str">
        <f t="shared" si="306"/>
        <v>Extremo</v>
      </c>
      <c r="AE208" s="170"/>
      <c r="AF208" s="132"/>
      <c r="AG208" s="194"/>
      <c r="AH208" s="195"/>
      <c r="AI208" s="176"/>
      <c r="AJ208" s="181"/>
      <c r="AK208" s="522"/>
      <c r="AL208" s="535"/>
      <c r="AM208" s="535"/>
      <c r="AN208" s="535"/>
      <c r="AO208" s="535"/>
      <c r="AP208" s="535"/>
      <c r="AQ208" s="535"/>
      <c r="AR208" s="535"/>
      <c r="AS208" s="158"/>
      <c r="AT208" s="158"/>
      <c r="AU208" s="158"/>
      <c r="AV208" s="158"/>
      <c r="AW208" s="158"/>
      <c r="AX208" s="158"/>
      <c r="AY208" s="158"/>
      <c r="AZ208" s="158"/>
      <c r="BA208" s="158"/>
      <c r="BB208" s="158"/>
      <c r="BC208" s="158"/>
      <c r="BD208" s="158"/>
      <c r="BE208" s="158"/>
      <c r="BF208" s="158"/>
      <c r="BG208" s="158"/>
      <c r="BH208" s="158"/>
      <c r="BI208" s="158"/>
      <c r="BJ208" s="158"/>
    </row>
    <row r="209" spans="2:62" ht="102" x14ac:dyDescent="0.2">
      <c r="B209" s="314"/>
      <c r="C209" s="316"/>
      <c r="D209" s="317"/>
      <c r="E209" s="313"/>
      <c r="F209" s="313"/>
      <c r="G209" s="304"/>
      <c r="H209" s="305"/>
      <c r="I209" s="306"/>
      <c r="J209" s="307"/>
      <c r="K209" s="308"/>
      <c r="L209" s="307">
        <f>IF(NOT(ISERROR(MATCH(K209,_xlfn.ANCHORARRAY(G456),0))),J458&amp;"Por favor no seleccionar los criterios de impacto",K209)</f>
        <v>0</v>
      </c>
      <c r="M209" s="306"/>
      <c r="N209" s="307"/>
      <c r="O209" s="309"/>
      <c r="P209" s="168">
        <v>3</v>
      </c>
      <c r="Q209" s="129" t="s">
        <v>451</v>
      </c>
      <c r="R209" s="169" t="s">
        <v>118</v>
      </c>
      <c r="S209" s="170" t="s">
        <v>112</v>
      </c>
      <c r="T209" s="170" t="s">
        <v>113</v>
      </c>
      <c r="U209" s="171" t="str">
        <f t="shared" si="311"/>
        <v>40%</v>
      </c>
      <c r="V209" s="170" t="s">
        <v>119</v>
      </c>
      <c r="W209" s="170" t="s">
        <v>115</v>
      </c>
      <c r="X209" s="170" t="s">
        <v>116</v>
      </c>
      <c r="Y209" s="172">
        <f>IFERROR(IF(AND(R208="Probabilidad",R209="Probabilidad"),(AA208-(+AA208*U209)),IF(AND(R208="Impacto",R209="Probabilidad"),(AA207-(+AA207*U209)),IF(R209="Impacto",AA208,""))),"")</f>
        <v>5.0399999999999993E-2</v>
      </c>
      <c r="Z209" s="173" t="str">
        <f t="shared" si="312"/>
        <v>Rara vez</v>
      </c>
      <c r="AA209" s="171">
        <f t="shared" si="313"/>
        <v>5.0399999999999993E-2</v>
      </c>
      <c r="AB209" s="173" t="str">
        <f t="shared" si="314"/>
        <v>Catastrófico</v>
      </c>
      <c r="AC209" s="171">
        <f>IFERROR(IF(AND(R208="Impacto",R209="Impacto"),(AC208-(+AC208*U209)),IF(AND(R208="Probabilidad",R209="Impacto"),(AC207-(+AC207*U209)),IF(R209="Probabilidad",AC208,""))),"")</f>
        <v>1</v>
      </c>
      <c r="AD209" s="174" t="str">
        <f t="shared" si="306"/>
        <v>Extremo</v>
      </c>
      <c r="AE209" s="196"/>
      <c r="AF209" s="136"/>
      <c r="AG209" s="137"/>
      <c r="AH209" s="131"/>
      <c r="AI209" s="187"/>
      <c r="AJ209" s="188"/>
      <c r="AK209" s="523"/>
      <c r="AL209" s="535"/>
      <c r="AM209" s="535"/>
      <c r="AN209" s="535"/>
      <c r="AO209" s="535"/>
      <c r="AP209" s="535"/>
      <c r="AQ209" s="535"/>
      <c r="AR209" s="535"/>
      <c r="AS209" s="158"/>
      <c r="AT209" s="158"/>
      <c r="AU209" s="158"/>
      <c r="AV209" s="158"/>
      <c r="AW209" s="158"/>
      <c r="AX209" s="158"/>
      <c r="AY209" s="158"/>
      <c r="AZ209" s="158"/>
      <c r="BA209" s="158"/>
      <c r="BB209" s="158"/>
      <c r="BC209" s="158"/>
      <c r="BD209" s="158"/>
      <c r="BE209" s="158"/>
      <c r="BF209" s="158"/>
      <c r="BG209" s="158"/>
      <c r="BH209" s="158"/>
      <c r="BI209" s="158"/>
      <c r="BJ209" s="158"/>
    </row>
    <row r="210" spans="2:62" ht="102" x14ac:dyDescent="0.2">
      <c r="B210" s="314"/>
      <c r="C210" s="316"/>
      <c r="D210" s="317"/>
      <c r="E210" s="313"/>
      <c r="F210" s="313"/>
      <c r="G210" s="304"/>
      <c r="H210" s="305"/>
      <c r="I210" s="306"/>
      <c r="J210" s="307"/>
      <c r="K210" s="308"/>
      <c r="L210" s="307">
        <f>IF(NOT(ISERROR(MATCH(K210,_xlfn.ANCHORARRAY(G457),0))),J459&amp;"Por favor no seleccionar los criterios de impacto",K210)</f>
        <v>0</v>
      </c>
      <c r="M210" s="306"/>
      <c r="N210" s="307"/>
      <c r="O210" s="309"/>
      <c r="P210" s="168">
        <v>4</v>
      </c>
      <c r="Q210" s="129" t="s">
        <v>452</v>
      </c>
      <c r="R210" s="169" t="s">
        <v>118</v>
      </c>
      <c r="S210" s="170" t="s">
        <v>133</v>
      </c>
      <c r="T210" s="170" t="s">
        <v>113</v>
      </c>
      <c r="U210" s="171" t="str">
        <f t="shared" si="311"/>
        <v>30%</v>
      </c>
      <c r="V210" s="170" t="s">
        <v>114</v>
      </c>
      <c r="W210" s="170" t="s">
        <v>115</v>
      </c>
      <c r="X210" s="170" t="s">
        <v>116</v>
      </c>
      <c r="Y210" s="172">
        <f t="shared" ref="Y210" si="315">IFERROR(IF(AND(R209="Probabilidad",R210="Probabilidad"),(AA209-(+AA209*U210)),IF(AND(R209="Impacto",R210="Probabilidad"),(AA208-(+AA208*U210)),IF(R210="Impacto",AA209,""))),"")</f>
        <v>3.5279999999999992E-2</v>
      </c>
      <c r="Z210" s="173" t="str">
        <f t="shared" si="312"/>
        <v>Rara vez</v>
      </c>
      <c r="AA210" s="171">
        <f t="shared" si="313"/>
        <v>3.5279999999999992E-2</v>
      </c>
      <c r="AB210" s="173" t="str">
        <f t="shared" si="314"/>
        <v>Catastrófico</v>
      </c>
      <c r="AC210" s="171">
        <f t="shared" ref="AC210" si="316">IFERROR(IF(AND(R209="Impacto",R210="Impacto"),(AC209-(+AC209*U210)),IF(AND(R209="Probabilidad",R210="Impacto"),(AC208-(+AC208*U210)),IF(R210="Probabilidad",AC209,""))),"")</f>
        <v>1</v>
      </c>
      <c r="AD210" s="174" t="str">
        <f t="shared" ref="AD210" si="317">IFERROR(IF(OR(AND(Z210="Rara vez",AB210="Leve"),AND(Z210="Rara vez",AB210="Menor"),AND(Z210="Improbable",AB210="Leve")),"Bajo",IF(OR(AND(Z210="Rara vez",AB210="Moderado"),AND(Z210="Improbable",AB210="Menor"),AND(Z210="Improbable",AB210="Moderado"),AND(Z210="Posible",AB210="Leve"),AND(Z210="Posible",AB210="Menor"),AND(Z210="Posible",AB210="Moderado"),AND(Z210="Probable",AB210="Leve"),AND(Z210="Probable",AB210="Menor")),"Moderado",IF(OR(AND(Z210="Rara vez",AB210="Mayor"),AND(Z210="Improbable",AB210="Mayor"),AND(Z210="Posible",AB210="Mayor"),AND(Z210="Probable",AB210="Moderado"),AND(Z210="Probable",AB210="Mayor"),AND(Z210="Casi Seguro",AB210="Leve"),AND(Z210="Casi Seguro",AB210="Menor"),AND(Z210="Casi Seguro",AB210="Moderado"),AND(Z210="Casi Seguro",AB210="Mayor")),"Alto",IF(OR(AND(Z210="Rara vez",AB210="Catastrófico"),AND(Z210="Improbable",AB210="Catastrófico"),AND(Z210="Posible",AB210="Catastrófico"),AND(Z210="Probable",AB210="Catastrófico"),AND(Z210="Casi Seguro",AB210="Catastrófico")),"Extremo","")))),"")</f>
        <v>Extremo</v>
      </c>
      <c r="AE210" s="170" t="s">
        <v>120</v>
      </c>
      <c r="AF210" s="136" t="s">
        <v>453</v>
      </c>
      <c r="AG210" s="203" t="s">
        <v>454</v>
      </c>
      <c r="AH210" s="202">
        <v>46022</v>
      </c>
      <c r="AI210" s="136"/>
      <c r="AJ210" s="200"/>
      <c r="AK210" s="525" t="s">
        <v>123</v>
      </c>
      <c r="AL210" s="535"/>
      <c r="AM210" s="535"/>
      <c r="AN210" s="535"/>
      <c r="AO210" s="535"/>
      <c r="AP210" s="535"/>
      <c r="AQ210" s="535"/>
      <c r="AR210" s="535"/>
      <c r="AS210" s="158"/>
      <c r="AT210" s="158"/>
      <c r="AU210" s="158"/>
      <c r="AV210" s="158"/>
      <c r="AW210" s="158"/>
      <c r="AX210" s="158"/>
      <c r="AY210" s="158"/>
      <c r="AZ210" s="158"/>
      <c r="BA210" s="158"/>
      <c r="BB210" s="158"/>
      <c r="BC210" s="158"/>
      <c r="BD210" s="158"/>
      <c r="BE210" s="158"/>
      <c r="BF210" s="158"/>
      <c r="BG210" s="158"/>
      <c r="BH210" s="158"/>
      <c r="BI210" s="158"/>
      <c r="BJ210" s="158"/>
    </row>
    <row r="211" spans="2:62" x14ac:dyDescent="0.2">
      <c r="B211" s="314"/>
      <c r="C211" s="316"/>
      <c r="D211" s="317"/>
      <c r="E211" s="313"/>
      <c r="F211" s="313"/>
      <c r="G211" s="304"/>
      <c r="H211" s="305"/>
      <c r="I211" s="306"/>
      <c r="J211" s="307"/>
      <c r="K211" s="308"/>
      <c r="L211" s="307">
        <f>IF(NOT(ISERROR(MATCH(K211,_xlfn.ANCHORARRAY(G458),0))),J460&amp;"Por favor no seleccionar los criterios de impacto",K211)</f>
        <v>0</v>
      </c>
      <c r="M211" s="306"/>
      <c r="N211" s="307"/>
      <c r="O211" s="309"/>
      <c r="P211" s="168">
        <v>5</v>
      </c>
      <c r="Q211" s="126"/>
      <c r="R211" s="169"/>
      <c r="S211" s="170"/>
      <c r="T211" s="170"/>
      <c r="U211" s="171"/>
      <c r="V211" s="170"/>
      <c r="W211" s="170"/>
      <c r="X211" s="170"/>
      <c r="Y211" s="172"/>
      <c r="Z211" s="173"/>
      <c r="AA211" s="171"/>
      <c r="AB211" s="173"/>
      <c r="AC211" s="171"/>
      <c r="AD211" s="174"/>
      <c r="AE211" s="179"/>
      <c r="AF211" s="136"/>
      <c r="AG211" s="203"/>
      <c r="AH211" s="202"/>
      <c r="AI211" s="203"/>
      <c r="AJ211" s="136"/>
      <c r="AK211" s="525"/>
      <c r="AL211" s="535"/>
      <c r="AM211" s="535"/>
      <c r="AN211" s="535"/>
      <c r="AO211" s="535"/>
      <c r="AP211" s="535"/>
      <c r="AQ211" s="535"/>
      <c r="AR211" s="535"/>
      <c r="AS211" s="158"/>
      <c r="AT211" s="158"/>
      <c r="AU211" s="158"/>
      <c r="AV211" s="158"/>
      <c r="AW211" s="158"/>
      <c r="AX211" s="158"/>
      <c r="AY211" s="158"/>
      <c r="AZ211" s="158"/>
      <c r="BA211" s="158"/>
      <c r="BB211" s="158"/>
      <c r="BC211" s="158"/>
      <c r="BD211" s="158"/>
      <c r="BE211" s="158"/>
      <c r="BF211" s="158"/>
      <c r="BG211" s="158"/>
      <c r="BH211" s="158"/>
      <c r="BI211" s="158"/>
      <c r="BJ211" s="158"/>
    </row>
    <row r="212" spans="2:62" ht="14.25" customHeight="1" x14ac:dyDescent="0.2">
      <c r="B212" s="314"/>
      <c r="C212" s="320"/>
      <c r="D212" s="317"/>
      <c r="E212" s="313"/>
      <c r="F212" s="313"/>
      <c r="G212" s="304"/>
      <c r="H212" s="305"/>
      <c r="I212" s="306"/>
      <c r="J212" s="307"/>
      <c r="K212" s="308"/>
      <c r="L212" s="307">
        <f>IF(NOT(ISERROR(MATCH(K212,_xlfn.ANCHORARRAY(G459),0))),J461&amp;"Por favor no seleccionar los criterios de impacto",K212)</f>
        <v>0</v>
      </c>
      <c r="M212" s="306"/>
      <c r="N212" s="307"/>
      <c r="O212" s="309"/>
      <c r="P212" s="168">
        <v>6</v>
      </c>
      <c r="Q212" s="129"/>
      <c r="R212" s="169"/>
      <c r="S212" s="170"/>
      <c r="T212" s="170"/>
      <c r="U212" s="171"/>
      <c r="V212" s="170"/>
      <c r="W212" s="170"/>
      <c r="X212" s="170"/>
      <c r="Y212" s="172"/>
      <c r="Z212" s="173"/>
      <c r="AA212" s="171"/>
      <c r="AB212" s="173"/>
      <c r="AC212" s="171"/>
      <c r="AD212" s="174"/>
      <c r="AE212" s="170"/>
      <c r="AF212" s="136"/>
      <c r="AG212" s="136"/>
      <c r="AH212" s="131"/>
      <c r="AI212" s="131"/>
      <c r="AJ212" s="177"/>
      <c r="AK212" s="523"/>
      <c r="AL212" s="535"/>
      <c r="AM212" s="535"/>
      <c r="AN212" s="535"/>
      <c r="AO212" s="535"/>
      <c r="AP212" s="535"/>
      <c r="AQ212" s="535"/>
      <c r="AR212" s="535"/>
      <c r="AS212" s="158"/>
      <c r="AT212" s="158"/>
      <c r="AU212" s="158"/>
      <c r="AV212" s="158"/>
      <c r="AW212" s="158"/>
      <c r="AX212" s="158"/>
      <c r="AY212" s="158"/>
      <c r="AZ212" s="158"/>
      <c r="BA212" s="158"/>
      <c r="BB212" s="158"/>
      <c r="BC212" s="158"/>
      <c r="BD212" s="158"/>
      <c r="BE212" s="158"/>
      <c r="BF212" s="158"/>
      <c r="BG212" s="158"/>
      <c r="BH212" s="158"/>
      <c r="BI212" s="158"/>
      <c r="BJ212" s="158"/>
    </row>
    <row r="213" spans="2:62" s="163" customFormat="1" ht="153.75" customHeight="1" x14ac:dyDescent="0.25">
      <c r="B213" s="314" t="s">
        <v>455</v>
      </c>
      <c r="C213" s="315" t="s">
        <v>456</v>
      </c>
      <c r="D213" s="317" t="s">
        <v>457</v>
      </c>
      <c r="E213" s="313" t="s">
        <v>127</v>
      </c>
      <c r="F213" s="313" t="s">
        <v>458</v>
      </c>
      <c r="G213" s="304" t="s">
        <v>399</v>
      </c>
      <c r="H213" s="305" t="s">
        <v>109</v>
      </c>
      <c r="I213" s="306" t="str">
        <f>IF(H213&lt;=0,"",IF(H213="No se ha presentado en los últimos 5 años","Rara vez",IF(H213="Al menos 1 vez en los últimos 5 años","Improbable",IF(H213="Al menos 1 vez en los últimos 2 años","Posible",IF(H213="Al menos 1 vez en el último año","Probable",IF(H213="Más de 1 vez al año","Casi Seguro"))))))</f>
        <v>Rara vez</v>
      </c>
      <c r="J213" s="307">
        <f>IF(I213="","",IF(I213="Rara vez",0.2,IF(I213="Improbable",0.4,IF(I213="Posible",0.6,IF(I213="Probable",0.8,IF(I213="Casi Seguro",1,))))))</f>
        <v>0.2</v>
      </c>
      <c r="K213" s="308" t="s">
        <v>131</v>
      </c>
      <c r="L213" s="307" t="str">
        <f>IF(NOT(ISERROR(MATCH(K213,'Tabla Impacto'!$B$220:$B$222,0))),'Tabla Impacto'!$F$222&amp;"Por favor no seleccionar los criterios de impacto(Criterios para calificar el impacto)",K213)</f>
        <v xml:space="preserve">Responder afirmativamente de DOCE a DIECINUEVE </v>
      </c>
      <c r="M213" s="306" t="str">
        <f>IF(OR(L213='Tabla Impacto'!$C$5),"Moderado",IF(OR(L213='Tabla Impacto'!$C$6),"Mayor",IF(OR(L213='Tabla Impacto'!$C$7),"Catastrófico","")))</f>
        <v>Catastrófico</v>
      </c>
      <c r="N213" s="307">
        <f>IF(M213="","",IF(M213="Leve",0.2,IF(M213="Menor",0.4,IF(M213="Moderado",0.6,IF(M213="Mayor",0.8,IF(M213="Catastrófico",1,))))))</f>
        <v>1</v>
      </c>
      <c r="O213" s="309" t="str">
        <f>IF(OR(AND(I213="Rara vez",M213="Leve"),AND(I213="Rara vez",M213="Menor"),AND(I213="Improbable",M213="Leve")),"Bajo",IF(OR(AND(I213="Rara vez",M213="Moderado"),AND(I213="Improbable",M213="Menor"),AND(I213="Improbable",M213="Moderado"),AND(I213="Posible",M213="Leve"),AND(I213="Posible",M213="Menor"),AND(I213="Posible",M213="Moderado"),AND(I213="Probable",M213="Leve"),AND(I213="Probable",M213="Menor")),"Moderado",IF(OR(AND(I213="Rara vez",M213="Mayor"),AND(I213="Improbable",M213="Mayor"),AND(I213="Posible",M213="Mayor"),AND(I213="Probable",M213="Moderado"),AND(I213="Probable",M213="Mayor"),AND(I213="Casi Seguro",M213="Leve"),AND(I213="Casi Seguro",M213="Menor"),AND(I213="Casi Seguro",M213="Moderado"),AND(I213="Casi Seguro",M213="Mayor")),"Alto",IF(OR(AND(I213="Rara vez",M213="Catastrófico"),AND(I213="Improbable",M213="Catastrófico"),AND(I213="Posible",M213="Catastrófico"),AND(I213="Probable",M213="Catastrófico"),AND(I213="Casi Seguro",M213="Catastrófico")),"Extremo",""))))</f>
        <v>Extremo</v>
      </c>
      <c r="P213" s="168">
        <v>1</v>
      </c>
      <c r="Q213" s="129" t="s">
        <v>459</v>
      </c>
      <c r="R213" s="169" t="str">
        <f>IF(OR(S213="Preventivo",S213="Detectivo"),"Probabilidad",IF(S213="Correctivo","Impacto",""))</f>
        <v>Probabilidad</v>
      </c>
      <c r="S213" s="170" t="s">
        <v>112</v>
      </c>
      <c r="T213" s="170" t="s">
        <v>113</v>
      </c>
      <c r="U213" s="171" t="str">
        <f>IF(AND(S213="Preventivo",T213="Automático"),"50%",IF(AND(S213="Preventivo",T213="Manual"),"40%",IF(AND(S213="Detectivo",T213="Automático"),"40%",IF(AND(S213="Detectivo",T213="Manual"),"30%",IF(AND(S213="Correctivo",T213="Automático"),"35%",IF(AND(S213="Correctivo",T213="Manual"),"25%",""))))))</f>
        <v>40%</v>
      </c>
      <c r="V213" s="170" t="s">
        <v>119</v>
      </c>
      <c r="W213" s="170" t="s">
        <v>319</v>
      </c>
      <c r="X213" s="170" t="s">
        <v>134</v>
      </c>
      <c r="Y213" s="172">
        <f>IFERROR(IF(R213="Probabilidad",(J213-(+J213*U213)),IF(R213="Impacto",J213,"")),"")</f>
        <v>0.12</v>
      </c>
      <c r="Z213" s="173" t="str">
        <f>IFERROR(IF(Y213="","",IF(Y213&lt;=0.2,"Rara vez",IF(Y213&lt;=0.4,"Improbable",IF(Y213&lt;=0.6,"Posible",IF(Y213&lt;=0.8,"Probable","Casi Seguro"))))),"")</f>
        <v>Rara vez</v>
      </c>
      <c r="AA213" s="171">
        <f>+Y213</f>
        <v>0.12</v>
      </c>
      <c r="AB213" s="173" t="str">
        <f>IFERROR(IF(AC213="","",IF(AC213&lt;=0.6,"Moderado",IF(AC213&lt;=0.8,"Mayor","Catastrófico"))),"")</f>
        <v>Catastrófico</v>
      </c>
      <c r="AC213" s="171">
        <f>IFERROR(IF(R213="Impacto",(N213-(+N213*U213)),IF(R213="Probabilidad",N213,"")),"")</f>
        <v>1</v>
      </c>
      <c r="AD213" s="174" t="str">
        <f>IFERROR(IF(OR(AND(Z213="Rara vez",AB213="Leve"),AND(Z213="Rara vez",AB213="Menor"),AND(Z213="Improbable",AB213="Leve")),"Bajo",IF(OR(AND(Z213="Rara vez",AB213="Moderado"),AND(Z213="Improbable",AB213="Menor"),AND(Z213="Improbable",AB213="Moderado"),AND(Z213="Posible",AB213="Leve"),AND(Z213="Posible",AB213="Menor"),AND(Z213="Posible",AB213="Moderado"),AND(Z213="Probable",AB213="Leve"),AND(Z213="Probable",AB213="Menor")),"Moderado",IF(OR(AND(Z213="Rara vez",AB213="Mayor"),AND(Z213="Improbable",AB213="Mayor"),AND(Z213="Posible",AB213="Mayor"),AND(Z213="Probable",AB213="Moderado"),AND(Z213="Probable",AB213="Mayor"),AND(Z213="Casi Seguro",AB213="Leve"),AND(Z213="Casi Seguro",AB213="Menor"),AND(Z213="Casi Seguro",AB213="Moderado"),AND(Z213="Casi Seguro",AB213="Mayor")),"Alto",IF(OR(AND(Z213="Rara vez",AB213="Catastrófico"),AND(Z213="Improbable",AB213="Catastrófico"),AND(Z213="Posible",AB213="Catastrófico"),AND(Z213="Probable",AB213="Catastrófico"),AND(Z213="Casi Seguro",AB213="Catastrófico")),"Extremo","")))),"")</f>
        <v>Extremo</v>
      </c>
      <c r="AE213" s="170"/>
      <c r="AF213" s="123"/>
      <c r="AG213" s="123"/>
      <c r="AH213" s="175"/>
      <c r="AI213" s="176"/>
      <c r="AJ213" s="177"/>
      <c r="AK213" s="522"/>
      <c r="AL213" s="534"/>
      <c r="AM213" s="534"/>
      <c r="AN213" s="534"/>
      <c r="AO213" s="534"/>
      <c r="AP213" s="534"/>
      <c r="AQ213" s="534"/>
      <c r="AR213" s="534"/>
      <c r="AS213" s="178"/>
      <c r="AT213" s="178"/>
      <c r="AU213" s="178"/>
      <c r="AV213" s="178"/>
      <c r="AW213" s="178"/>
      <c r="AX213" s="178"/>
      <c r="AY213" s="178"/>
      <c r="AZ213" s="178"/>
      <c r="BA213" s="178"/>
      <c r="BB213" s="178"/>
      <c r="BC213" s="178"/>
      <c r="BD213" s="178"/>
      <c r="BE213" s="178"/>
      <c r="BF213" s="178"/>
      <c r="BG213" s="178"/>
      <c r="BH213" s="178"/>
      <c r="BI213" s="178"/>
      <c r="BJ213" s="178"/>
    </row>
    <row r="214" spans="2:62" ht="114.75" x14ac:dyDescent="0.2">
      <c r="B214" s="314"/>
      <c r="C214" s="316"/>
      <c r="D214" s="317"/>
      <c r="E214" s="313"/>
      <c r="F214" s="313"/>
      <c r="G214" s="304"/>
      <c r="H214" s="305"/>
      <c r="I214" s="306"/>
      <c r="J214" s="307"/>
      <c r="K214" s="308"/>
      <c r="L214" s="307">
        <f>IF(NOT(ISERROR(MATCH(K214,_xlfn.ANCHORARRAY(G461),0))),J463&amp;"Por favor no seleccionar los criterios de impacto",K214)</f>
        <v>0</v>
      </c>
      <c r="M214" s="306"/>
      <c r="N214" s="307"/>
      <c r="O214" s="309"/>
      <c r="P214" s="168">
        <v>2</v>
      </c>
      <c r="Q214" s="129" t="s">
        <v>460</v>
      </c>
      <c r="R214" s="169" t="str">
        <f>IF(OR(S214="Preventivo",S214="Detectivo"),"Probabilidad",IF(S214="Correctivo","Impacto",""))</f>
        <v>Probabilidad</v>
      </c>
      <c r="S214" s="170" t="s">
        <v>112</v>
      </c>
      <c r="T214" s="170" t="s">
        <v>113</v>
      </c>
      <c r="U214" s="171" t="str">
        <f t="shared" ref="U214:U217" si="318">IF(AND(S214="Preventivo",T214="Automático"),"50%",IF(AND(S214="Preventivo",T214="Manual"),"40%",IF(AND(S214="Detectivo",T214="Automático"),"40%",IF(AND(S214="Detectivo",T214="Manual"),"30%",IF(AND(S214="Correctivo",T214="Automático"),"35%",IF(AND(S214="Correctivo",T214="Manual"),"25%",""))))))</f>
        <v>40%</v>
      </c>
      <c r="V214" s="170" t="s">
        <v>119</v>
      </c>
      <c r="W214" s="170" t="s">
        <v>115</v>
      </c>
      <c r="X214" s="170" t="s">
        <v>134</v>
      </c>
      <c r="Y214" s="172">
        <f>IFERROR(IF(AND(R213="Probabilidad",R214="Probabilidad"),(AA213-(+AA213*U214)),IF(R214="Probabilidad",(J213-(+J213*U214)),IF(R214="Impacto",AA213,""))),"")</f>
        <v>7.1999999999999995E-2</v>
      </c>
      <c r="Z214" s="173" t="str">
        <f t="shared" ref="Z214:Z217" si="319">IFERROR(IF(Y214="","",IF(Y214&lt;=0.2,"Rara vez",IF(Y214&lt;=0.4,"Improbable",IF(Y214&lt;=0.6,"Posible",IF(Y214&lt;=0.8,"Probable","Casi Seguro"))))),"")</f>
        <v>Rara vez</v>
      </c>
      <c r="AA214" s="171">
        <f t="shared" ref="AA214:AA217" si="320">+Y214</f>
        <v>7.1999999999999995E-2</v>
      </c>
      <c r="AB214" s="173" t="str">
        <f t="shared" ref="AB214:AB217" si="321">IFERROR(IF(AC214="","",IF(AC214&lt;=0.6,"Moderado",IF(AC214&lt;=0.8,"Mayor","Catastrófico"))),"")</f>
        <v>Catastrófico</v>
      </c>
      <c r="AC214" s="171">
        <f>IFERROR(IF(AND(R213="Impacto",R214="Impacto"),(AC213-(+AC213*U214)),IF(R214="Impacto",(N213-(+N213*U214)),IF(R214="Probabilidad",AC213,""))),"")</f>
        <v>1</v>
      </c>
      <c r="AD214" s="174" t="str">
        <f>IFERROR(IF(OR(AND(Z214="Rara vez",AB214="Leve"),AND(Z214="Rara vez",AB214="Menor"),AND(Z214="Improbable",AB214="Leve")),"Bajo",IF(OR(AND(Z214="Rara vez",AB214="Moderado"),AND(Z214="Improbable",AB214="Menor"),AND(Z214="Improbable",AB214="Moderado"),AND(Z214="Posible",AB214="Leve"),AND(Z214="Posible",AB214="Menor"),AND(Z214="Posible",AB214="Moderado"),AND(Z214="Probable",AB214="Leve"),AND(Z214="Probable",AB214="Menor")),"Moderado",IF(OR(AND(Z214="Rara vez",AB214="Mayor"),AND(Z214="Improbable",AB214="Mayor"),AND(Z214="Posible",AB214="Mayor"),AND(Z214="Probable",AB214="Moderado"),AND(Z214="Probable",AB214="Mayor"),AND(Z214="Casi Seguro",AB214="Leve"),AND(Z214="Casi Seguro",AB214="Menor"),AND(Z214="Casi Seguro",AB214="Moderado"),AND(Z214="Casi Seguro",AB214="Mayor")),"Alto",IF(OR(AND(Z214="Rara vez",AB214="Catastrófico"),AND(Z214="Improbable",AB214="Catastrófico"),AND(Z214="Posible",AB214="Catastrófico"),AND(Z214="Probable",AB214="Catastrófico"),AND(Z214="Casi Seguro",AB214="Catastrófico")),"Extremo","")))),"")</f>
        <v>Extremo</v>
      </c>
      <c r="AE214" s="170"/>
      <c r="AF214" s="132"/>
      <c r="AG214" s="194"/>
      <c r="AH214" s="195"/>
      <c r="AI214" s="195"/>
      <c r="AJ214" s="181"/>
      <c r="AK214" s="522"/>
      <c r="AL214" s="535"/>
      <c r="AM214" s="535"/>
      <c r="AN214" s="535"/>
      <c r="AO214" s="535"/>
      <c r="AP214" s="535"/>
      <c r="AQ214" s="535"/>
      <c r="AR214" s="535"/>
      <c r="AS214" s="158"/>
      <c r="AT214" s="158"/>
      <c r="AU214" s="158"/>
      <c r="AV214" s="158"/>
      <c r="AW214" s="158"/>
      <c r="AX214" s="158"/>
      <c r="AY214" s="158"/>
      <c r="AZ214" s="158"/>
      <c r="BA214" s="158"/>
      <c r="BB214" s="158"/>
      <c r="BC214" s="158"/>
      <c r="BD214" s="158"/>
      <c r="BE214" s="158"/>
      <c r="BF214" s="158"/>
      <c r="BG214" s="158"/>
      <c r="BH214" s="158"/>
      <c r="BI214" s="158"/>
      <c r="BJ214" s="158"/>
    </row>
    <row r="215" spans="2:62" ht="102" x14ac:dyDescent="0.2">
      <c r="B215" s="314"/>
      <c r="C215" s="316"/>
      <c r="D215" s="317"/>
      <c r="E215" s="313"/>
      <c r="F215" s="313"/>
      <c r="G215" s="304"/>
      <c r="H215" s="305"/>
      <c r="I215" s="306"/>
      <c r="J215" s="307"/>
      <c r="K215" s="308"/>
      <c r="L215" s="307">
        <f>IF(NOT(ISERROR(MATCH(K215,_xlfn.ANCHORARRAY(G462),0))),J464&amp;"Por favor no seleccionar los criterios de impacto",K215)</f>
        <v>0</v>
      </c>
      <c r="M215" s="306"/>
      <c r="N215" s="307"/>
      <c r="O215" s="309"/>
      <c r="P215" s="168">
        <v>3</v>
      </c>
      <c r="Q215" s="129" t="s">
        <v>461</v>
      </c>
      <c r="R215" s="169" t="s">
        <v>118</v>
      </c>
      <c r="S215" s="170" t="s">
        <v>133</v>
      </c>
      <c r="T215" s="170" t="s">
        <v>113</v>
      </c>
      <c r="U215" s="171" t="str">
        <f t="shared" si="318"/>
        <v>30%</v>
      </c>
      <c r="V215" s="170" t="s">
        <v>119</v>
      </c>
      <c r="W215" s="170" t="s">
        <v>115</v>
      </c>
      <c r="X215" s="170" t="s">
        <v>134</v>
      </c>
      <c r="Y215" s="172">
        <f>IFERROR(IF(AND(R214="Probabilidad",R215="Probabilidad"),(AA214-(+AA214*U215)),IF(AND(R214="Impacto",R215="Probabilidad"),(AA213-(+AA213*U215)),IF(R215="Impacto",AA214,""))),"")</f>
        <v>5.04E-2</v>
      </c>
      <c r="Z215" s="173" t="str">
        <f t="shared" si="319"/>
        <v>Rara vez</v>
      </c>
      <c r="AA215" s="171">
        <f t="shared" si="320"/>
        <v>5.04E-2</v>
      </c>
      <c r="AB215" s="173" t="str">
        <f t="shared" si="321"/>
        <v>Catastrófico</v>
      </c>
      <c r="AC215" s="171">
        <f>IFERROR(IF(AND(R214="Impacto",R215="Impacto"),(AC214-(+AC214*U215)),IF(AND(R214="Probabilidad",R215="Impacto"),(AC213-(+AC213*U215)),IF(R215="Probabilidad",AC214,""))),"")</f>
        <v>1</v>
      </c>
      <c r="AD215" s="174" t="str">
        <f>IFERROR(IF(OR(AND(Z215="Rara vez",AB215="Leve"),AND(Z215="Rara vez",AB215="Menor"),AND(Z215="Improbable",AB215="Leve")),"Bajo",IF(OR(AND(Z215="Rara vez",AB215="Moderado"),AND(Z215="Improbable",AB215="Menor"),AND(Z215="Improbable",AB215="Moderado"),AND(Z215="Posible",AB215="Leve"),AND(Z215="Posible",AB215="Menor"),AND(Z215="Posible",AB215="Moderado"),AND(Z215="Probable",AB215="Leve"),AND(Z215="Probable",AB215="Menor")),"Moderado",IF(OR(AND(Z215="Rara vez",AB215="Mayor"),AND(Z215="Improbable",AB215="Mayor"),AND(Z215="Posible",AB215="Mayor"),AND(Z215="Probable",AB215="Moderado"),AND(Z215="Probable",AB215="Mayor"),AND(Z215="Casi Seguro",AB215="Leve"),AND(Z215="Casi Seguro",AB215="Menor"),AND(Z215="Casi Seguro",AB215="Moderado"),AND(Z215="Casi Seguro",AB215="Mayor")),"Alto",IF(OR(AND(Z215="Rara vez",AB215="Catastrófico"),AND(Z215="Improbable",AB215="Catastrófico"),AND(Z215="Posible",AB215="Catastrófico"),AND(Z215="Probable",AB215="Catastrófico"),AND(Z215="Casi Seguro",AB215="Catastrófico")),"Extremo","")))),"")</f>
        <v>Extremo</v>
      </c>
      <c r="AE215" s="196"/>
      <c r="AF215" s="152"/>
      <c r="AG215" s="152"/>
      <c r="AH215" s="207"/>
      <c r="AI215" s="208"/>
      <c r="AJ215" s="209"/>
      <c r="AK215" s="523"/>
      <c r="AL215" s="535"/>
      <c r="AM215" s="535"/>
      <c r="AN215" s="535"/>
      <c r="AO215" s="535"/>
      <c r="AP215" s="535"/>
      <c r="AQ215" s="535"/>
      <c r="AR215" s="535"/>
      <c r="AS215" s="158"/>
      <c r="AT215" s="158"/>
      <c r="AU215" s="158"/>
      <c r="AV215" s="158"/>
      <c r="AW215" s="158"/>
      <c r="AX215" s="158"/>
      <c r="AY215" s="158"/>
      <c r="AZ215" s="158"/>
      <c r="BA215" s="158"/>
      <c r="BB215" s="158"/>
      <c r="BC215" s="158"/>
      <c r="BD215" s="158"/>
      <c r="BE215" s="158"/>
      <c r="BF215" s="158"/>
      <c r="BG215" s="158"/>
      <c r="BH215" s="158"/>
      <c r="BI215" s="158"/>
      <c r="BJ215" s="158"/>
    </row>
    <row r="216" spans="2:62" ht="114.75" x14ac:dyDescent="0.2">
      <c r="B216" s="314"/>
      <c r="C216" s="316"/>
      <c r="D216" s="317"/>
      <c r="E216" s="313"/>
      <c r="F216" s="313"/>
      <c r="G216" s="304"/>
      <c r="H216" s="305"/>
      <c r="I216" s="306"/>
      <c r="J216" s="307"/>
      <c r="K216" s="308"/>
      <c r="L216" s="307">
        <f>IF(NOT(ISERROR(MATCH(K216,_xlfn.ANCHORARRAY(G463),0))),J465&amp;"Por favor no seleccionar los criterios de impacto",K216)</f>
        <v>0</v>
      </c>
      <c r="M216" s="306"/>
      <c r="N216" s="307"/>
      <c r="O216" s="309"/>
      <c r="P216" s="168">
        <v>4</v>
      </c>
      <c r="Q216" s="129" t="s">
        <v>462</v>
      </c>
      <c r="R216" s="169" t="s">
        <v>118</v>
      </c>
      <c r="S216" s="170" t="s">
        <v>133</v>
      </c>
      <c r="T216" s="170" t="s">
        <v>113</v>
      </c>
      <c r="U216" s="171" t="str">
        <f t="shared" si="318"/>
        <v>30%</v>
      </c>
      <c r="V216" s="170" t="s">
        <v>119</v>
      </c>
      <c r="W216" s="170" t="s">
        <v>115</v>
      </c>
      <c r="X216" s="170" t="s">
        <v>134</v>
      </c>
      <c r="Y216" s="172">
        <f t="shared" ref="Y216:Y217" si="322">IFERROR(IF(AND(R215="Probabilidad",R216="Probabilidad"),(AA215-(+AA215*U216)),IF(AND(R215="Impacto",R216="Probabilidad"),(AA214-(+AA214*U216)),IF(R216="Impacto",AA215,""))),"")</f>
        <v>3.5279999999999999E-2</v>
      </c>
      <c r="Z216" s="173" t="str">
        <f t="shared" si="319"/>
        <v>Rara vez</v>
      </c>
      <c r="AA216" s="171">
        <f t="shared" si="320"/>
        <v>3.5279999999999999E-2</v>
      </c>
      <c r="AB216" s="173" t="str">
        <f t="shared" si="321"/>
        <v>Catastrófico</v>
      </c>
      <c r="AC216" s="171">
        <f t="shared" ref="AC216:AC217" si="323">IFERROR(IF(AND(R215="Impacto",R216="Impacto"),(AC215-(+AC215*U216)),IF(AND(R215="Probabilidad",R216="Impacto"),(AC214-(+AC214*U216)),IF(R216="Probabilidad",AC215,""))),"")</f>
        <v>1</v>
      </c>
      <c r="AD216" s="174" t="str">
        <f>IFERROR(IF(OR(AND(Z216="Rara vez",AB216="Leve"),AND(Z216="Rara vez",AB216="Menor"),AND(Z216="Improbable",AB216="Leve")),"Bajo",IF(OR(AND(Z216="Rara vez",AB216="Moderado"),AND(Z216="Improbable",AB216="Menor"),AND(Z216="Improbable",AB216="Moderado"),AND(Z216="Posible",AB216="Leve"),AND(Z216="Posible",AB216="Menor"),AND(Z216="Posible",AB216="Moderado"),AND(Z216="Probable",AB216="Leve"),AND(Z216="Probable",AB216="Menor")),"Moderado",IF(OR(AND(Z216="Rara vez",AB216="Mayor"),AND(Z216="Improbable",AB216="Mayor"),AND(Z216="Posible",AB216="Mayor"),AND(Z216="Probable",AB216="Moderado"),AND(Z216="Probable",AB216="Mayor"),AND(Z216="Casi Seguro",AB216="Leve"),AND(Z216="Casi Seguro",AB216="Menor"),AND(Z216="Casi Seguro",AB216="Moderado"),AND(Z216="Casi Seguro",AB216="Mayor")),"Alto",IF(OR(AND(Z216="Rara vez",AB216="Catastrófico"),AND(Z216="Improbable",AB216="Catastrófico"),AND(Z216="Posible",AB216="Catastrófico"),AND(Z216="Probable",AB216="Catastrófico"),AND(Z216="Casi Seguro",AB216="Catastrófico")),"Extremo","")))),"")</f>
        <v>Extremo</v>
      </c>
      <c r="AE216" s="170"/>
      <c r="AF216" s="210"/>
      <c r="AG216" s="211"/>
      <c r="AH216" s="212"/>
      <c r="AI216" s="213"/>
      <c r="AJ216" s="214"/>
      <c r="AK216" s="531"/>
      <c r="AL216" s="535"/>
      <c r="AM216" s="535"/>
      <c r="AN216" s="535"/>
      <c r="AO216" s="535"/>
      <c r="AP216" s="535"/>
      <c r="AQ216" s="535"/>
      <c r="AR216" s="535"/>
      <c r="AS216" s="158"/>
      <c r="AT216" s="158"/>
      <c r="AU216" s="158"/>
      <c r="AV216" s="158"/>
      <c r="AW216" s="158"/>
      <c r="AX216" s="158"/>
      <c r="AY216" s="158"/>
      <c r="AZ216" s="158"/>
      <c r="BA216" s="158"/>
      <c r="BB216" s="158"/>
      <c r="BC216" s="158"/>
      <c r="BD216" s="158"/>
      <c r="BE216" s="158"/>
      <c r="BF216" s="158"/>
      <c r="BG216" s="158"/>
      <c r="BH216" s="158"/>
      <c r="BI216" s="158"/>
      <c r="BJ216" s="158"/>
    </row>
    <row r="217" spans="2:62" ht="127.5" x14ac:dyDescent="0.2">
      <c r="B217" s="314"/>
      <c r="C217" s="316"/>
      <c r="D217" s="317"/>
      <c r="E217" s="313"/>
      <c r="F217" s="313"/>
      <c r="G217" s="304"/>
      <c r="H217" s="305"/>
      <c r="I217" s="306"/>
      <c r="J217" s="307"/>
      <c r="K217" s="308"/>
      <c r="L217" s="307">
        <f>IF(NOT(ISERROR(MATCH(K217,_xlfn.ANCHORARRAY(G464),0))),J466&amp;"Por favor no seleccionar los criterios de impacto",K217)</f>
        <v>0</v>
      </c>
      <c r="M217" s="306"/>
      <c r="N217" s="307"/>
      <c r="O217" s="309"/>
      <c r="P217" s="168">
        <v>5</v>
      </c>
      <c r="Q217" s="129" t="s">
        <v>463</v>
      </c>
      <c r="R217" s="169" t="s">
        <v>136</v>
      </c>
      <c r="S217" s="182" t="s">
        <v>137</v>
      </c>
      <c r="T217" s="170" t="s">
        <v>113</v>
      </c>
      <c r="U217" s="171" t="str">
        <f t="shared" si="318"/>
        <v>25%</v>
      </c>
      <c r="V217" s="170" t="s">
        <v>119</v>
      </c>
      <c r="W217" s="170" t="s">
        <v>115</v>
      </c>
      <c r="X217" s="170" t="s">
        <v>134</v>
      </c>
      <c r="Y217" s="172">
        <f t="shared" si="322"/>
        <v>3.5279999999999999E-2</v>
      </c>
      <c r="Z217" s="173" t="str">
        <f t="shared" si="319"/>
        <v>Rara vez</v>
      </c>
      <c r="AA217" s="171">
        <f t="shared" si="320"/>
        <v>3.5279999999999999E-2</v>
      </c>
      <c r="AB217" s="173" t="str">
        <f t="shared" si="321"/>
        <v>Mayor</v>
      </c>
      <c r="AC217" s="171">
        <f t="shared" si="323"/>
        <v>0.75</v>
      </c>
      <c r="AD217" s="174" t="str">
        <f>IFERROR(IF(OR(AND(Z217="Rara vez",AB217="Leve"),AND(Z217="Rara vez",AB217="Menor"),AND(Z217="Improbable",AB217="Leve")),"Bajo",IF(OR(AND(Z217="Rara vez",AB217="Moderado"),AND(Z217="Improbable",AB217="Menor"),AND(Z217="Improbable",AB217="Moderado"),AND(Z217="Posible",AB217="Leve"),AND(Z217="Posible",AB217="Menor"),AND(Z217="Posible",AB217="Moderado"),AND(Z217="Probable",AB217="Leve"),AND(Z217="Probable",AB217="Menor")),"Moderado",IF(OR(AND(Z217="Rara vez",AB217="Mayor"),AND(Z217="Improbable",AB217="Mayor"),AND(Z217="Posible",AB217="Mayor"),AND(Z217="Probable",AB217="Moderado"),AND(Z217="Probable",AB217="Mayor"),AND(Z217="Casi Seguro",AB217="Leve"),AND(Z217="Casi Seguro",AB217="Menor"),AND(Z217="Casi Seguro",AB217="Moderado"),AND(Z217="Casi Seguro",AB217="Mayor")),"Alto",IF(OR(AND(Z217="Rara vez",AB217="Catastrófico"),AND(Z217="Improbable",AB217="Catastrófico"),AND(Z217="Posible",AB217="Catastrófico"),AND(Z217="Probable",AB217="Catastrófico"),AND(Z217="Casi Seguro",AB217="Catastrófico")),"Extremo","")))),"")</f>
        <v>Alto</v>
      </c>
      <c r="AE217" s="216" t="s">
        <v>120</v>
      </c>
      <c r="AF217" s="136" t="s">
        <v>464</v>
      </c>
      <c r="AG217" s="136" t="s">
        <v>465</v>
      </c>
      <c r="AH217" s="202">
        <v>46022</v>
      </c>
      <c r="AI217" s="203"/>
      <c r="AJ217" s="131"/>
      <c r="AK217" s="524" t="s">
        <v>123</v>
      </c>
      <c r="AL217" s="535"/>
      <c r="AM217" s="535"/>
      <c r="AN217" s="535"/>
      <c r="AO217" s="535"/>
      <c r="AP217" s="535"/>
      <c r="AQ217" s="535"/>
      <c r="AR217" s="535"/>
      <c r="AS217" s="158"/>
      <c r="AT217" s="158"/>
      <c r="AU217" s="158"/>
      <c r="AV217" s="158"/>
      <c r="AW217" s="158"/>
      <c r="AX217" s="158"/>
      <c r="AY217" s="158"/>
      <c r="AZ217" s="158"/>
      <c r="BA217" s="158"/>
      <c r="BB217" s="158"/>
      <c r="BC217" s="158"/>
      <c r="BD217" s="158"/>
      <c r="BE217" s="158"/>
      <c r="BF217" s="158"/>
      <c r="BG217" s="158"/>
      <c r="BH217" s="158"/>
      <c r="BI217" s="158"/>
      <c r="BJ217" s="158"/>
    </row>
    <row r="218" spans="2:62" ht="14.25" customHeight="1" x14ac:dyDescent="0.2">
      <c r="B218" s="314"/>
      <c r="C218" s="316"/>
      <c r="D218" s="317"/>
      <c r="E218" s="313"/>
      <c r="F218" s="313"/>
      <c r="G218" s="304"/>
      <c r="H218" s="305"/>
      <c r="I218" s="306"/>
      <c r="J218" s="307"/>
      <c r="K218" s="308"/>
      <c r="L218" s="307">
        <f>IF(NOT(ISERROR(MATCH(K218,_xlfn.ANCHORARRAY(G465),0))),J467&amp;"Por favor no seleccionar los criterios de impacto",K218)</f>
        <v>0</v>
      </c>
      <c r="M218" s="306"/>
      <c r="N218" s="307"/>
      <c r="O218" s="309"/>
      <c r="P218" s="168">
        <v>6</v>
      </c>
      <c r="Q218" s="129"/>
      <c r="R218" s="169"/>
      <c r="S218" s="170"/>
      <c r="T218" s="170"/>
      <c r="U218" s="171"/>
      <c r="V218" s="170"/>
      <c r="W218" s="170"/>
      <c r="X218" s="170"/>
      <c r="Y218" s="172"/>
      <c r="Z218" s="173"/>
      <c r="AA218" s="171"/>
      <c r="AB218" s="173"/>
      <c r="AC218" s="171"/>
      <c r="AD218" s="174"/>
      <c r="AE218" s="170"/>
      <c r="AF218" s="141"/>
      <c r="AG218" s="141"/>
      <c r="AH218" s="142"/>
      <c r="AI218" s="142"/>
      <c r="AJ218" s="217"/>
      <c r="AK218" s="530"/>
      <c r="AL218" s="535"/>
      <c r="AM218" s="535"/>
      <c r="AN218" s="535"/>
      <c r="AO218" s="535"/>
      <c r="AP218" s="535"/>
      <c r="AQ218" s="535"/>
      <c r="AR218" s="535"/>
      <c r="AS218" s="158"/>
      <c r="AT218" s="158"/>
      <c r="AU218" s="158"/>
      <c r="AV218" s="158"/>
      <c r="AW218" s="158"/>
      <c r="AX218" s="158"/>
      <c r="AY218" s="158"/>
      <c r="AZ218" s="158"/>
      <c r="BA218" s="158"/>
      <c r="BB218" s="158"/>
      <c r="BC218" s="158"/>
      <c r="BD218" s="158"/>
      <c r="BE218" s="158"/>
      <c r="BF218" s="158"/>
      <c r="BG218" s="158"/>
      <c r="BH218" s="158"/>
      <c r="BI218" s="158"/>
      <c r="BJ218" s="158"/>
    </row>
    <row r="219" spans="2:62" s="163" customFormat="1" ht="102" customHeight="1" x14ac:dyDescent="0.25">
      <c r="B219" s="310" t="s">
        <v>466</v>
      </c>
      <c r="C219" s="311" t="s">
        <v>359</v>
      </c>
      <c r="D219" s="312" t="s">
        <v>467</v>
      </c>
      <c r="E219" s="313" t="s">
        <v>127</v>
      </c>
      <c r="F219" s="313" t="s">
        <v>468</v>
      </c>
      <c r="G219" s="304" t="s">
        <v>469</v>
      </c>
      <c r="H219" s="305" t="s">
        <v>109</v>
      </c>
      <c r="I219" s="306" t="str">
        <f>IF(H219&lt;=0,"",IF(H219="No se ha presentado en los últimos 5 años","Rara vez",IF(H219="Al menos 1 vez en los últimos 5 años","Improbable",IF(H219="Al menos 1 vez en los últimos 2 años","Posible",IF(H219="Al menos 1 vez en el último año","Probable",IF(H219="Más de 1 vez al año","Casi Seguro"))))))</f>
        <v>Rara vez</v>
      </c>
      <c r="J219" s="307">
        <f>IF(I219="","",IF(I219="Rara vez",0.2,IF(I219="Improbable",0.4,IF(I219="Posible",0.6,IF(I219="Probable",0.8,IF(I219="Casi Seguro",1,))))))</f>
        <v>0.2</v>
      </c>
      <c r="K219" s="308" t="s">
        <v>110</v>
      </c>
      <c r="L219" s="307" t="str">
        <f>IF(NOT(ISERROR(MATCH(K219,'Tabla Impacto'!$B$220:$B$222,0))),'Tabla Impacto'!$F$222&amp;"Por favor no seleccionar los criterios de impacto(Criterios para calificar el impacto)",K219)</f>
        <v>Responder afirmativamente de SEIS a ONCE</v>
      </c>
      <c r="M219" s="306" t="str">
        <f>IF(OR(L219='Tabla Impacto'!$C$5),"Moderado",IF(OR(L219='Tabla Impacto'!$C$6),"Mayor",IF(OR(L219='Tabla Impacto'!$C$7),"Catastrófico","")))</f>
        <v>Mayor</v>
      </c>
      <c r="N219" s="307">
        <f>IF(M219="","",IF(M219="Leve",0.2,IF(M219="Menor",0.4,IF(M219="Moderado",0.6,IF(M219="Mayor",0.8,IF(M219="Catastrófico",1,))))))</f>
        <v>0.8</v>
      </c>
      <c r="O219" s="309" t="str">
        <f>IF(OR(AND(I219="Rara vez",M219="Leve"),AND(I219="Rara vez",M219="Menor"),AND(I219="Improbable",M219="Leve")),"Bajo",IF(OR(AND(I219="Rara vez",M219="Moderado"),AND(I219="Improbable",M219="Menor"),AND(I219="Improbable",M219="Moderado"),AND(I219="Posible",M219="Leve"),AND(I219="Posible",M219="Menor"),AND(I219="Posible",M219="Moderado"),AND(I219="Probable",M219="Leve"),AND(I219="Probable",M219="Menor")),"Moderado",IF(OR(AND(I219="Rara vez",M219="Mayor"),AND(I219="Improbable",M219="Mayor"),AND(I219="Posible",M219="Mayor"),AND(I219="Probable",M219="Moderado"),AND(I219="Probable",M219="Mayor"),AND(I219="Casi Seguro",M219="Leve"),AND(I219="Casi Seguro",M219="Menor"),AND(I219="Casi Seguro",M219="Moderado"),AND(I219="Casi Seguro",M219="Mayor")),"Alto",IF(OR(AND(I219="Rara vez",M219="Catastrófico"),AND(I219="Improbable",M219="Catastrófico"),AND(I219="Posible",M219="Catastrófico"),AND(I219="Probable",M219="Catastrófico"),AND(I219="Casi Seguro",M219="Catastrófico")),"Extremo",""))))</f>
        <v>Alto</v>
      </c>
      <c r="P219" s="168">
        <v>1</v>
      </c>
      <c r="Q219" s="129" t="s">
        <v>470</v>
      </c>
      <c r="R219" s="169" t="str">
        <f>IF(OR(S219="Preventivo",S219="Detectivo"),"Probabilidad",IF(S219="Correctivo","Impacto",""))</f>
        <v>Probabilidad</v>
      </c>
      <c r="S219" s="170" t="s">
        <v>112</v>
      </c>
      <c r="T219" s="170" t="s">
        <v>113</v>
      </c>
      <c r="U219" s="171" t="str">
        <f>IF(AND(S219="Preventivo",T219="Automático"),"50%",IF(AND(S219="Preventivo",T219="Manual"),"40%",IF(AND(S219="Detectivo",T219="Automático"),"40%",IF(AND(S219="Detectivo",T219="Manual"),"30%",IF(AND(S219="Correctivo",T219="Automático"),"35%",IF(AND(S219="Correctivo",T219="Manual"),"25%",""))))))</f>
        <v>40%</v>
      </c>
      <c r="V219" s="170" t="s">
        <v>114</v>
      </c>
      <c r="W219" s="170" t="s">
        <v>115</v>
      </c>
      <c r="X219" s="170" t="s">
        <v>134</v>
      </c>
      <c r="Y219" s="172">
        <f>IFERROR(IF(R219="Probabilidad",(J219-(+J219*U219)),IF(R219="Impacto",J219,"")),"")</f>
        <v>0.12</v>
      </c>
      <c r="Z219" s="173" t="str">
        <f>IFERROR(IF(Y219="","",IF(Y219&lt;=0.2,"Rara vez",IF(Y219&lt;=0.4,"Improbable",IF(Y219&lt;=0.6,"Posible",IF(Y219&lt;=0.8,"Probable","Casi Seguro"))))),"")</f>
        <v>Rara vez</v>
      </c>
      <c r="AA219" s="171">
        <f>+Y219</f>
        <v>0.12</v>
      </c>
      <c r="AB219" s="173" t="str">
        <f>IFERROR(IF(AC219="","",IF(AC219&lt;=0.6,"Moderado",IF(AC219&lt;=0.8,"Mayor","Catastrófico"))),"")</f>
        <v>Mayor</v>
      </c>
      <c r="AC219" s="171">
        <f>IFERROR(IF(R219="Impacto",(N219-(+N219*U219)),IF(R219="Probabilidad",N219,"")),"")</f>
        <v>0.8</v>
      </c>
      <c r="AD219" s="174" t="str">
        <f t="shared" ref="AD219:AD224" si="324">IFERROR(IF(OR(AND(Z219="Rara vez",AB219="Leve"),AND(Z219="Rara vez",AB219="Menor"),AND(Z219="Improbable",AB219="Leve")),"Bajo",IF(OR(AND(Z219="Rara vez",AB219="Moderado"),AND(Z219="Improbable",AB219="Menor"),AND(Z219="Improbable",AB219="Moderado"),AND(Z219="Posible",AB219="Leve"),AND(Z219="Posible",AB219="Menor"),AND(Z219="Posible",AB219="Moderado"),AND(Z219="Probable",AB219="Leve"),AND(Z219="Probable",AB219="Menor")),"Moderado",IF(OR(AND(Z219="Rara vez",AB219="Mayor"),AND(Z219="Improbable",AB219="Mayor"),AND(Z219="Posible",AB219="Mayor"),AND(Z219="Probable",AB219="Moderado"),AND(Z219="Probable",AB219="Mayor"),AND(Z219="Casi Seguro",AB219="Leve"),AND(Z219="Casi Seguro",AB219="Menor"),AND(Z219="Casi Seguro",AB219="Moderado"),AND(Z219="Casi Seguro",AB219="Mayor")),"Alto",IF(OR(AND(Z219="Rara vez",AB219="Catastrófico"),AND(Z219="Improbable",AB219="Catastrófico"),AND(Z219="Posible",AB219="Catastrófico"),AND(Z219="Probable",AB219="Catastrófico"),AND(Z219="Casi Seguro",AB219="Catastrófico")),"Extremo","")))),"")</f>
        <v>Alto</v>
      </c>
      <c r="AE219" s="170"/>
      <c r="AF219" s="123"/>
      <c r="AG219" s="123"/>
      <c r="AH219" s="175"/>
      <c r="AI219" s="176"/>
      <c r="AJ219" s="177"/>
      <c r="AK219" s="522"/>
      <c r="AL219" s="534"/>
      <c r="AM219" s="534"/>
      <c r="AN219" s="534"/>
      <c r="AO219" s="534"/>
      <c r="AP219" s="534"/>
      <c r="AQ219" s="534"/>
      <c r="AR219" s="534"/>
      <c r="AS219" s="178"/>
      <c r="AT219" s="178"/>
      <c r="AU219" s="178"/>
      <c r="AV219" s="178"/>
      <c r="AW219" s="178"/>
      <c r="AX219" s="178"/>
      <c r="AY219" s="178"/>
      <c r="AZ219" s="178"/>
      <c r="BA219" s="178"/>
      <c r="BB219" s="178"/>
      <c r="BC219" s="178"/>
      <c r="BD219" s="178"/>
      <c r="BE219" s="178"/>
      <c r="BF219" s="178"/>
      <c r="BG219" s="178"/>
      <c r="BH219" s="178"/>
      <c r="BI219" s="178"/>
      <c r="BJ219" s="178"/>
    </row>
    <row r="220" spans="2:62" ht="65.25" x14ac:dyDescent="0.2">
      <c r="B220" s="310"/>
      <c r="C220" s="311"/>
      <c r="D220" s="312"/>
      <c r="E220" s="313"/>
      <c r="F220" s="313"/>
      <c r="G220" s="304"/>
      <c r="H220" s="305"/>
      <c r="I220" s="306"/>
      <c r="J220" s="307"/>
      <c r="K220" s="308"/>
      <c r="L220" s="307">
        <f>IF(NOT(ISERROR(MATCH(K220,_xlfn.ANCHORARRAY(G467),0))),J469&amp;"Por favor no seleccionar los criterios de impacto",K220)</f>
        <v>0</v>
      </c>
      <c r="M220" s="306"/>
      <c r="N220" s="307"/>
      <c r="O220" s="309"/>
      <c r="P220" s="168">
        <v>2</v>
      </c>
      <c r="Q220" s="129" t="s">
        <v>471</v>
      </c>
      <c r="R220" s="169" t="str">
        <f>IF(OR(S220="Preventivo",S220="Detectivo"),"Probabilidad",IF(S220="Correctivo","Impacto",""))</f>
        <v>Probabilidad</v>
      </c>
      <c r="S220" s="170" t="s">
        <v>133</v>
      </c>
      <c r="T220" s="170" t="s">
        <v>113</v>
      </c>
      <c r="U220" s="171" t="str">
        <f t="shared" ref="U220:U221" si="325">IF(AND(S220="Preventivo",T220="Automático"),"50%",IF(AND(S220="Preventivo",T220="Manual"),"40%",IF(AND(S220="Detectivo",T220="Automático"),"40%",IF(AND(S220="Detectivo",T220="Manual"),"30%",IF(AND(S220="Correctivo",T220="Automático"),"35%",IF(AND(S220="Correctivo",T220="Manual"),"25%",""))))))</f>
        <v>30%</v>
      </c>
      <c r="V220" s="170" t="s">
        <v>119</v>
      </c>
      <c r="W220" s="170" t="s">
        <v>115</v>
      </c>
      <c r="X220" s="170" t="s">
        <v>134</v>
      </c>
      <c r="Y220" s="172">
        <f>IFERROR(IF(AND(R219="Probabilidad",R220="Probabilidad"),(AA219-(+AA219*U220)),IF(R220="Probabilidad",(J219-(+J219*U220)),IF(R220="Impacto",AA219,""))),"")</f>
        <v>8.3999999999999991E-2</v>
      </c>
      <c r="Z220" s="173" t="str">
        <f t="shared" ref="Z220:Z221" si="326">IFERROR(IF(Y220="","",IF(Y220&lt;=0.2,"Rara vez",IF(Y220&lt;=0.4,"Improbable",IF(Y220&lt;=0.6,"Posible",IF(Y220&lt;=0.8,"Probable","Casi Seguro"))))),"")</f>
        <v>Rara vez</v>
      </c>
      <c r="AA220" s="171">
        <f t="shared" ref="AA220:AA221" si="327">+Y220</f>
        <v>8.3999999999999991E-2</v>
      </c>
      <c r="AB220" s="173" t="str">
        <f t="shared" ref="AB220:AB221" si="328">IFERROR(IF(AC220="","",IF(AC220&lt;=0.6,"Moderado",IF(AC220&lt;=0.8,"Mayor","Catastrófico"))),"")</f>
        <v>Mayor</v>
      </c>
      <c r="AC220" s="171">
        <f>IFERROR(IF(AND(R219="Impacto",R220="Impacto"),(AC219-(+AC219*U220)),IF(R220="Impacto",(N219-(+N219*U220)),IF(R220="Probabilidad",AC219,""))),"")</f>
        <v>0.8</v>
      </c>
      <c r="AD220" s="174" t="str">
        <f t="shared" si="324"/>
        <v>Alto</v>
      </c>
      <c r="AE220" s="170"/>
      <c r="AF220" s="132"/>
      <c r="AG220" s="194"/>
      <c r="AH220" s="195"/>
      <c r="AI220" s="195"/>
      <c r="AJ220" s="181"/>
      <c r="AK220" s="522"/>
      <c r="AL220" s="535"/>
      <c r="AM220" s="535"/>
      <c r="AN220" s="535"/>
      <c r="AO220" s="535"/>
      <c r="AP220" s="535"/>
      <c r="AQ220" s="535"/>
      <c r="AR220" s="535"/>
      <c r="AS220" s="158"/>
      <c r="AT220" s="158"/>
      <c r="AU220" s="158"/>
      <c r="AV220" s="158"/>
      <c r="AW220" s="158"/>
      <c r="AX220" s="158"/>
      <c r="AY220" s="158"/>
      <c r="AZ220" s="158"/>
      <c r="BA220" s="158"/>
      <c r="BB220" s="158"/>
      <c r="BC220" s="158"/>
      <c r="BD220" s="158"/>
      <c r="BE220" s="158"/>
      <c r="BF220" s="158"/>
      <c r="BG220" s="158"/>
      <c r="BH220" s="158"/>
      <c r="BI220" s="158"/>
      <c r="BJ220" s="158"/>
    </row>
    <row r="221" spans="2:62" ht="75" x14ac:dyDescent="0.2">
      <c r="B221" s="310"/>
      <c r="C221" s="311"/>
      <c r="D221" s="312"/>
      <c r="E221" s="313"/>
      <c r="F221" s="313"/>
      <c r="G221" s="304"/>
      <c r="H221" s="305"/>
      <c r="I221" s="306"/>
      <c r="J221" s="307"/>
      <c r="K221" s="308"/>
      <c r="L221" s="307">
        <f>IF(NOT(ISERROR(MATCH(K221,_xlfn.ANCHORARRAY(G468),0))),J470&amp;"Por favor no seleccionar los criterios de impacto",K221)</f>
        <v>0</v>
      </c>
      <c r="M221" s="306"/>
      <c r="N221" s="307"/>
      <c r="O221" s="309"/>
      <c r="P221" s="168">
        <v>3</v>
      </c>
      <c r="Q221" s="145" t="s">
        <v>472</v>
      </c>
      <c r="R221" s="169" t="s">
        <v>136</v>
      </c>
      <c r="S221" s="182" t="s">
        <v>137</v>
      </c>
      <c r="T221" s="170" t="s">
        <v>113</v>
      </c>
      <c r="U221" s="171" t="str">
        <f t="shared" si="325"/>
        <v>25%</v>
      </c>
      <c r="V221" s="170" t="s">
        <v>114</v>
      </c>
      <c r="W221" s="170" t="s">
        <v>115</v>
      </c>
      <c r="X221" s="170" t="s">
        <v>134</v>
      </c>
      <c r="Y221" s="172">
        <f>IFERROR(IF(AND(R220="Probabilidad",R221="Probabilidad"),(AA220-(+AA220*U221)),IF(AND(R220="Impacto",R221="Probabilidad"),(AA219-(+AA219*U221)),IF(R221="Impacto",AA220,""))),"")</f>
        <v>8.3999999999999991E-2</v>
      </c>
      <c r="Z221" s="173" t="str">
        <f t="shared" si="326"/>
        <v>Rara vez</v>
      </c>
      <c r="AA221" s="171">
        <f t="shared" si="327"/>
        <v>8.3999999999999991E-2</v>
      </c>
      <c r="AB221" s="173" t="str">
        <f t="shared" si="328"/>
        <v>Moderado</v>
      </c>
      <c r="AC221" s="171">
        <f>IFERROR(IF(AND(R220="Impacto",R221="Impacto"),(AC220-(+AC220*U221)),IF(AND(R220="Probabilidad",R221="Impacto"),(AC219-(+AC219*U221)),IF(R221="Probabilidad",AC220,""))),"")</f>
        <v>0.60000000000000009</v>
      </c>
      <c r="AD221" s="174" t="str">
        <f t="shared" si="324"/>
        <v>Moderado</v>
      </c>
      <c r="AE221" s="196"/>
      <c r="AF221" s="152"/>
      <c r="AG221" s="152"/>
      <c r="AH221" s="207"/>
      <c r="AI221" s="208"/>
      <c r="AJ221" s="209"/>
      <c r="AK221" s="523"/>
      <c r="AL221" s="535"/>
      <c r="AM221" s="535"/>
      <c r="AN221" s="535"/>
      <c r="AO221" s="535"/>
      <c r="AP221" s="535"/>
      <c r="AQ221" s="535"/>
      <c r="AR221" s="535"/>
      <c r="AS221" s="158"/>
      <c r="AT221" s="158"/>
      <c r="AU221" s="158"/>
      <c r="AV221" s="158"/>
      <c r="AW221" s="158"/>
      <c r="AX221" s="158"/>
      <c r="AY221" s="158"/>
      <c r="AZ221" s="158"/>
      <c r="BA221" s="158"/>
      <c r="BB221" s="158"/>
      <c r="BC221" s="158"/>
      <c r="BD221" s="158"/>
      <c r="BE221" s="158"/>
      <c r="BF221" s="158"/>
      <c r="BG221" s="158"/>
      <c r="BH221" s="158"/>
      <c r="BI221" s="158"/>
      <c r="BJ221" s="158"/>
    </row>
    <row r="222" spans="2:62" s="163" customFormat="1" ht="129" customHeight="1" x14ac:dyDescent="0.25">
      <c r="B222" s="314" t="s">
        <v>473</v>
      </c>
      <c r="C222" s="315" t="s">
        <v>359</v>
      </c>
      <c r="D222" s="317" t="s">
        <v>474</v>
      </c>
      <c r="E222" s="313" t="s">
        <v>127</v>
      </c>
      <c r="F222" s="313" t="s">
        <v>475</v>
      </c>
      <c r="G222" s="304" t="s">
        <v>372</v>
      </c>
      <c r="H222" s="305" t="s">
        <v>109</v>
      </c>
      <c r="I222" s="306" t="str">
        <f>IF(H222&lt;=0,"",IF(H222="No se ha presentado en los últimos 5 años","Rara vez",IF(H222="Al menos 1 vez en los últimos 5 años","Improbable",IF(H222="Al menos 1 vez en los últimos 2 años","Posible",IF(H222="Al menos 1 vez en el último año","Probable",IF(H222="Más de 1 vez al año","Casi Seguro"))))))</f>
        <v>Rara vez</v>
      </c>
      <c r="J222" s="307">
        <f>IF(I222="","",IF(I222="Rara vez",0.2,IF(I222="Improbable",0.4,IF(I222="Posible",0.6,IF(I222="Probable",0.8,IF(I222="Casi Seguro",1,))))))</f>
        <v>0.2</v>
      </c>
      <c r="K222" s="308" t="s">
        <v>131</v>
      </c>
      <c r="L222" s="307" t="str">
        <f>IF(NOT(ISERROR(MATCH(K222,'Tabla Impacto'!$B$220:$B$222,0))),'Tabla Impacto'!$F$222&amp;"Por favor no seleccionar los criterios de impacto(Criterios para calificar el impacto)",K222)</f>
        <v xml:space="preserve">Responder afirmativamente de DOCE a DIECINUEVE </v>
      </c>
      <c r="M222" s="306" t="str">
        <f>IF(OR(L222='Tabla Impacto'!$C$5),"Moderado",IF(OR(L222='Tabla Impacto'!$C$6),"Mayor",IF(OR(L222='Tabla Impacto'!$C$7),"Catastrófico","")))</f>
        <v>Catastrófico</v>
      </c>
      <c r="N222" s="307">
        <f>IF(M222="","",IF(M222="Leve",0.2,IF(M222="Menor",0.4,IF(M222="Moderado",0.6,IF(M222="Mayor",0.8,IF(M222="Catastrófico",1,))))))</f>
        <v>1</v>
      </c>
      <c r="O222" s="309" t="str">
        <f>IF(OR(AND(I222="Rara vez",M222="Leve"),AND(I222="Rara vez",M222="Menor"),AND(I222="Improbable",M222="Leve")),"Bajo",IF(OR(AND(I222="Rara vez",M222="Moderado"),AND(I222="Improbable",M222="Menor"),AND(I222="Improbable",M222="Moderado"),AND(I222="Posible",M222="Leve"),AND(I222="Posible",M222="Menor"),AND(I222="Posible",M222="Moderado"),AND(I222="Probable",M222="Leve"),AND(I222="Probable",M222="Menor")),"Moderado",IF(OR(AND(I222="Rara vez",M222="Mayor"),AND(I222="Improbable",M222="Mayor"),AND(I222="Posible",M222="Mayor"),AND(I222="Probable",M222="Moderado"),AND(I222="Probable",M222="Mayor"),AND(I222="Casi Seguro",M222="Leve"),AND(I222="Casi Seguro",M222="Menor"),AND(I222="Casi Seguro",M222="Moderado"),AND(I222="Casi Seguro",M222="Mayor")),"Alto",IF(OR(AND(I222="Rara vez",M222="Catastrófico"),AND(I222="Improbable",M222="Catastrófico"),AND(I222="Posible",M222="Catastrófico"),AND(I222="Probable",M222="Catastrófico"),AND(I222="Casi Seguro",M222="Catastrófico")),"Extremo",""))))</f>
        <v>Extremo</v>
      </c>
      <c r="P222" s="168">
        <v>1</v>
      </c>
      <c r="Q222" s="129" t="s">
        <v>769</v>
      </c>
      <c r="R222" s="169" t="str">
        <f>IF(OR(S222="Preventivo",S222="Detectivo"),"Probabilidad",IF(S222="Correctivo","Impacto",""))</f>
        <v>Probabilidad</v>
      </c>
      <c r="S222" s="170" t="s">
        <v>112</v>
      </c>
      <c r="T222" s="170" t="s">
        <v>113</v>
      </c>
      <c r="U222" s="171" t="str">
        <f>IF(AND(S222="Preventivo",T222="Automático"),"50%",IF(AND(S222="Preventivo",T222="Manual"),"40%",IF(AND(S222="Detectivo",T222="Automático"),"40%",IF(AND(S222="Detectivo",T222="Manual"),"30%",IF(AND(S222="Correctivo",T222="Automático"),"35%",IF(AND(S222="Correctivo",T222="Manual"),"25%",""))))))</f>
        <v>40%</v>
      </c>
      <c r="V222" s="170" t="s">
        <v>119</v>
      </c>
      <c r="W222" s="170" t="s">
        <v>115</v>
      </c>
      <c r="X222" s="170" t="s">
        <v>134</v>
      </c>
      <c r="Y222" s="172">
        <f>IFERROR(IF(R222="Probabilidad",(J222-(+J222*U222)),IF(R222="Impacto",J222,"")),"")</f>
        <v>0.12</v>
      </c>
      <c r="Z222" s="173" t="str">
        <f>IFERROR(IF(Y222="","",IF(Y222&lt;=0.2,"Rara vez",IF(Y222&lt;=0.4,"Improbable",IF(Y222&lt;=0.6,"Posible",IF(Y222&lt;=0.8,"Probable","Casi Seguro"))))),"")</f>
        <v>Rara vez</v>
      </c>
      <c r="AA222" s="171">
        <f>+Y222</f>
        <v>0.12</v>
      </c>
      <c r="AB222" s="173" t="str">
        <f>IFERROR(IF(AC222="","",IF(AC222&lt;=0.6,"Moderado",IF(AC222&lt;=0.8,"Mayor","Catastrófico"))),"")</f>
        <v>Catastrófico</v>
      </c>
      <c r="AC222" s="171">
        <f>IFERROR(IF(R222="Impacto",(N222-(+N222*U222)),IF(R222="Probabilidad",N222,"")),"")</f>
        <v>1</v>
      </c>
      <c r="AD222" s="174" t="str">
        <f t="shared" si="324"/>
        <v>Extremo</v>
      </c>
      <c r="AE222" s="170"/>
      <c r="AF222" s="123"/>
      <c r="AG222" s="123"/>
      <c r="AH222" s="175"/>
      <c r="AI222" s="176"/>
      <c r="AJ222" s="177"/>
      <c r="AK222" s="522"/>
      <c r="AL222" s="534"/>
      <c r="AM222" s="534"/>
      <c r="AN222" s="534"/>
      <c r="AO222" s="534"/>
      <c r="AP222" s="534"/>
      <c r="AQ222" s="534"/>
      <c r="AR222" s="534"/>
      <c r="AS222" s="178"/>
      <c r="AT222" s="178"/>
      <c r="AU222" s="178"/>
      <c r="AV222" s="178"/>
      <c r="AW222" s="178"/>
      <c r="AX222" s="178"/>
      <c r="AY222" s="178"/>
      <c r="AZ222" s="178"/>
      <c r="BA222" s="178"/>
      <c r="BB222" s="178"/>
      <c r="BC222" s="178"/>
      <c r="BD222" s="178"/>
      <c r="BE222" s="178"/>
      <c r="BF222" s="178"/>
      <c r="BG222" s="178"/>
      <c r="BH222" s="178"/>
      <c r="BI222" s="178"/>
      <c r="BJ222" s="178"/>
    </row>
    <row r="223" spans="2:62" ht="75" x14ac:dyDescent="0.2">
      <c r="B223" s="314"/>
      <c r="C223" s="316"/>
      <c r="D223" s="317"/>
      <c r="E223" s="313"/>
      <c r="F223" s="313"/>
      <c r="G223" s="304"/>
      <c r="H223" s="305"/>
      <c r="I223" s="306"/>
      <c r="J223" s="307"/>
      <c r="K223" s="308"/>
      <c r="L223" s="307">
        <f>IF(NOT(ISERROR(MATCH(K223,_xlfn.ANCHORARRAY(G470),0))),J472&amp;"Por favor no seleccionar los criterios de impacto",K223)</f>
        <v>0</v>
      </c>
      <c r="M223" s="306"/>
      <c r="N223" s="307"/>
      <c r="O223" s="309"/>
      <c r="P223" s="168">
        <v>2</v>
      </c>
      <c r="Q223" s="129" t="s">
        <v>476</v>
      </c>
      <c r="R223" s="169" t="str">
        <f>IF(OR(S223="Preventivo",S223="Detectivo"),"Probabilidad",IF(S223="Correctivo","Impacto",""))</f>
        <v>Probabilidad</v>
      </c>
      <c r="S223" s="170" t="s">
        <v>133</v>
      </c>
      <c r="T223" s="170" t="s">
        <v>113</v>
      </c>
      <c r="U223" s="171" t="str">
        <f t="shared" ref="U223:U225" si="329">IF(AND(S223="Preventivo",T223="Automático"),"50%",IF(AND(S223="Preventivo",T223="Manual"),"40%",IF(AND(S223="Detectivo",T223="Automático"),"40%",IF(AND(S223="Detectivo",T223="Manual"),"30%",IF(AND(S223="Correctivo",T223="Automático"),"35%",IF(AND(S223="Correctivo",T223="Manual"),"25%",""))))))</f>
        <v>30%</v>
      </c>
      <c r="V223" s="170" t="s">
        <v>114</v>
      </c>
      <c r="W223" s="170" t="s">
        <v>115</v>
      </c>
      <c r="X223" s="170" t="s">
        <v>134</v>
      </c>
      <c r="Y223" s="172">
        <f>IFERROR(IF(AND(R222="Probabilidad",R223="Probabilidad"),(AA222-(+AA222*U223)),IF(R223="Probabilidad",(J222-(+J222*U223)),IF(R223="Impacto",AA222,""))),"")</f>
        <v>8.3999999999999991E-2</v>
      </c>
      <c r="Z223" s="173" t="str">
        <f t="shared" ref="Z223:Z225" si="330">IFERROR(IF(Y223="","",IF(Y223&lt;=0.2,"Rara vez",IF(Y223&lt;=0.4,"Improbable",IF(Y223&lt;=0.6,"Posible",IF(Y223&lt;=0.8,"Probable","Casi Seguro"))))),"")</f>
        <v>Rara vez</v>
      </c>
      <c r="AA223" s="171">
        <f t="shared" ref="AA223:AA225" si="331">+Y223</f>
        <v>8.3999999999999991E-2</v>
      </c>
      <c r="AB223" s="173" t="str">
        <f t="shared" ref="AB223:AB225" si="332">IFERROR(IF(AC223="","",IF(AC223&lt;=0.6,"Moderado",IF(AC223&lt;=0.8,"Mayor","Catastrófico"))),"")</f>
        <v>Catastrófico</v>
      </c>
      <c r="AC223" s="171">
        <f>IFERROR(IF(AND(R222="Impacto",R223="Impacto"),(AC222-(+AC222*U223)),IF(R223="Impacto",(N222-(+N222*U223)),IF(R223="Probabilidad",AC222,""))),"")</f>
        <v>1</v>
      </c>
      <c r="AD223" s="174" t="str">
        <f t="shared" si="324"/>
        <v>Extremo</v>
      </c>
      <c r="AE223" s="170"/>
      <c r="AF223" s="132"/>
      <c r="AG223" s="194"/>
      <c r="AH223" s="195"/>
      <c r="AI223" s="176"/>
      <c r="AJ223" s="181"/>
      <c r="AK223" s="522"/>
      <c r="AL223" s="535"/>
      <c r="AM223" s="535"/>
      <c r="AN223" s="535"/>
      <c r="AO223" s="535"/>
      <c r="AP223" s="535"/>
      <c r="AQ223" s="535"/>
      <c r="AR223" s="535"/>
      <c r="AS223" s="158"/>
      <c r="AT223" s="158"/>
      <c r="AU223" s="158"/>
      <c r="AV223" s="158"/>
      <c r="AW223" s="158"/>
      <c r="AX223" s="158"/>
      <c r="AY223" s="158"/>
      <c r="AZ223" s="158"/>
      <c r="BA223" s="158"/>
      <c r="BB223" s="158"/>
      <c r="BC223" s="158"/>
      <c r="BD223" s="158"/>
      <c r="BE223" s="158"/>
      <c r="BF223" s="158"/>
      <c r="BG223" s="158"/>
      <c r="BH223" s="158"/>
      <c r="BI223" s="158"/>
      <c r="BJ223" s="158"/>
    </row>
    <row r="224" spans="2:62" ht="75" x14ac:dyDescent="0.2">
      <c r="B224" s="314"/>
      <c r="C224" s="316"/>
      <c r="D224" s="317"/>
      <c r="E224" s="313"/>
      <c r="F224" s="313"/>
      <c r="G224" s="304"/>
      <c r="H224" s="305"/>
      <c r="I224" s="306"/>
      <c r="J224" s="307"/>
      <c r="K224" s="308"/>
      <c r="L224" s="307">
        <f>IF(NOT(ISERROR(MATCH(K224,_xlfn.ANCHORARRAY(G471),0))),J473&amp;"Por favor no seleccionar los criterios de impacto",K224)</f>
        <v>0</v>
      </c>
      <c r="M224" s="306"/>
      <c r="N224" s="307"/>
      <c r="O224" s="309"/>
      <c r="P224" s="168">
        <v>3</v>
      </c>
      <c r="Q224" s="129" t="s">
        <v>477</v>
      </c>
      <c r="R224" s="169" t="s">
        <v>118</v>
      </c>
      <c r="S224" s="170" t="s">
        <v>133</v>
      </c>
      <c r="T224" s="170" t="s">
        <v>113</v>
      </c>
      <c r="U224" s="171" t="str">
        <f t="shared" si="329"/>
        <v>30%</v>
      </c>
      <c r="V224" s="170" t="s">
        <v>114</v>
      </c>
      <c r="W224" s="170" t="s">
        <v>115</v>
      </c>
      <c r="X224" s="170" t="s">
        <v>134</v>
      </c>
      <c r="Y224" s="172">
        <f>IFERROR(IF(AND(R223="Probabilidad",R224="Probabilidad"),(AA223-(+AA223*U224)),IF(AND(R223="Impacto",R224="Probabilidad"),(AA222-(+AA222*U224)),IF(R224="Impacto",AA223,""))),"")</f>
        <v>5.8799999999999991E-2</v>
      </c>
      <c r="Z224" s="173" t="str">
        <f t="shared" si="330"/>
        <v>Rara vez</v>
      </c>
      <c r="AA224" s="171">
        <f t="shared" si="331"/>
        <v>5.8799999999999991E-2</v>
      </c>
      <c r="AB224" s="173" t="str">
        <f t="shared" si="332"/>
        <v>Catastrófico</v>
      </c>
      <c r="AC224" s="171">
        <f>IFERROR(IF(AND(R223="Impacto",R224="Impacto"),(AC223-(+AC223*U224)),IF(AND(R223="Probabilidad",R224="Impacto"),(AC222-(+AC222*U224)),IF(R224="Probabilidad",AC223,""))),"")</f>
        <v>1</v>
      </c>
      <c r="AD224" s="174" t="str">
        <f t="shared" si="324"/>
        <v>Extremo</v>
      </c>
      <c r="AE224" s="196"/>
      <c r="AF224" s="136"/>
      <c r="AG224" s="137"/>
      <c r="AH224" s="131"/>
      <c r="AI224" s="187"/>
      <c r="AJ224" s="188"/>
      <c r="AK224" s="523"/>
      <c r="AL224" s="535"/>
      <c r="AM224" s="535"/>
      <c r="AN224" s="535"/>
      <c r="AO224" s="535"/>
      <c r="AP224" s="535"/>
      <c r="AQ224" s="535"/>
      <c r="AR224" s="535"/>
      <c r="AS224" s="158"/>
      <c r="AT224" s="158"/>
      <c r="AU224" s="158"/>
      <c r="AV224" s="158"/>
      <c r="AW224" s="158"/>
      <c r="AX224" s="158"/>
      <c r="AY224" s="158"/>
      <c r="AZ224" s="158"/>
      <c r="BA224" s="158"/>
      <c r="BB224" s="158"/>
      <c r="BC224" s="158"/>
      <c r="BD224" s="158"/>
      <c r="BE224" s="158"/>
      <c r="BF224" s="158"/>
      <c r="BG224" s="158"/>
      <c r="BH224" s="158"/>
      <c r="BI224" s="158"/>
      <c r="BJ224" s="158"/>
    </row>
    <row r="225" spans="2:62" ht="75" x14ac:dyDescent="0.2">
      <c r="B225" s="314"/>
      <c r="C225" s="316"/>
      <c r="D225" s="317"/>
      <c r="E225" s="313"/>
      <c r="F225" s="313"/>
      <c r="G225" s="304"/>
      <c r="H225" s="305"/>
      <c r="I225" s="306"/>
      <c r="J225" s="307"/>
      <c r="K225" s="308"/>
      <c r="L225" s="307">
        <f>IF(NOT(ISERROR(MATCH(K225,_xlfn.ANCHORARRAY(G472),0))),J474&amp;"Por favor no seleccionar los criterios de impacto",K225)</f>
        <v>0</v>
      </c>
      <c r="M225" s="306"/>
      <c r="N225" s="307"/>
      <c r="O225" s="309"/>
      <c r="P225" s="168">
        <v>4</v>
      </c>
      <c r="Q225" s="129" t="s">
        <v>478</v>
      </c>
      <c r="R225" s="169" t="s">
        <v>136</v>
      </c>
      <c r="S225" s="182" t="s">
        <v>137</v>
      </c>
      <c r="T225" s="170" t="s">
        <v>113</v>
      </c>
      <c r="U225" s="171" t="str">
        <f t="shared" si="329"/>
        <v>25%</v>
      </c>
      <c r="V225" s="170" t="s">
        <v>114</v>
      </c>
      <c r="W225" s="170" t="s">
        <v>115</v>
      </c>
      <c r="X225" s="170" t="s">
        <v>134</v>
      </c>
      <c r="Y225" s="172">
        <f t="shared" ref="Y225" si="333">IFERROR(IF(AND(R224="Probabilidad",R225="Probabilidad"),(AA224-(+AA224*U225)),IF(AND(R224="Impacto",R225="Probabilidad"),(AA223-(+AA223*U225)),IF(R225="Impacto",AA224,""))),"")</f>
        <v>5.8799999999999991E-2</v>
      </c>
      <c r="Z225" s="173" t="str">
        <f t="shared" si="330"/>
        <v>Rara vez</v>
      </c>
      <c r="AA225" s="171">
        <f t="shared" si="331"/>
        <v>5.8799999999999991E-2</v>
      </c>
      <c r="AB225" s="173" t="str">
        <f t="shared" si="332"/>
        <v>Mayor</v>
      </c>
      <c r="AC225" s="171">
        <f t="shared" ref="AC225" si="334">IFERROR(IF(AND(R224="Impacto",R225="Impacto"),(AC224-(+AC224*U225)),IF(AND(R224="Probabilidad",R225="Impacto"),(AC223-(+AC223*U225)),IF(R225="Probabilidad",AC224,""))),"")</f>
        <v>0.75</v>
      </c>
      <c r="AD225" s="174" t="str">
        <f t="shared" ref="AD225" si="335">IFERROR(IF(OR(AND(Z225="Rara vez",AB225="Leve"),AND(Z225="Rara vez",AB225="Menor"),AND(Z225="Improbable",AB225="Leve")),"Bajo",IF(OR(AND(Z225="Rara vez",AB225="Moderado"),AND(Z225="Improbable",AB225="Menor"),AND(Z225="Improbable",AB225="Moderado"),AND(Z225="Posible",AB225="Leve"),AND(Z225="Posible",AB225="Menor"),AND(Z225="Posible",AB225="Moderado"),AND(Z225="Probable",AB225="Leve"),AND(Z225="Probable",AB225="Menor")),"Moderado",IF(OR(AND(Z225="Rara vez",AB225="Mayor"),AND(Z225="Improbable",AB225="Mayor"),AND(Z225="Posible",AB225="Mayor"),AND(Z225="Probable",AB225="Moderado"),AND(Z225="Probable",AB225="Mayor"),AND(Z225="Casi Seguro",AB225="Leve"),AND(Z225="Casi Seguro",AB225="Menor"),AND(Z225="Casi Seguro",AB225="Moderado"),AND(Z225="Casi Seguro",AB225="Mayor")),"Alto",IF(OR(AND(Z225="Rara vez",AB225="Catastrófico"),AND(Z225="Improbable",AB225="Catastrófico"),AND(Z225="Posible",AB225="Catastrófico"),AND(Z225="Probable",AB225="Catastrófico"),AND(Z225="Casi Seguro",AB225="Catastrófico")),"Extremo","")))),"")</f>
        <v>Alto</v>
      </c>
      <c r="AE225" s="170"/>
      <c r="AF225" s="136"/>
      <c r="AG225" s="203"/>
      <c r="AH225" s="202"/>
      <c r="AI225" s="136"/>
      <c r="AJ225" s="200"/>
      <c r="AK225" s="525"/>
      <c r="AL225" s="535"/>
      <c r="AM225" s="535"/>
      <c r="AN225" s="535"/>
      <c r="AO225" s="535"/>
      <c r="AP225" s="535"/>
      <c r="AQ225" s="535"/>
      <c r="AR225" s="535"/>
      <c r="AS225" s="158"/>
      <c r="AT225" s="158"/>
      <c r="AU225" s="158"/>
      <c r="AV225" s="158"/>
      <c r="AW225" s="158"/>
      <c r="AX225" s="158"/>
      <c r="AY225" s="158"/>
      <c r="AZ225" s="158"/>
      <c r="BA225" s="158"/>
      <c r="BB225" s="158"/>
      <c r="BC225" s="158"/>
      <c r="BD225" s="158"/>
      <c r="BE225" s="158"/>
      <c r="BF225" s="158"/>
      <c r="BG225" s="158"/>
      <c r="BH225" s="158"/>
      <c r="BI225" s="158"/>
      <c r="BJ225" s="158"/>
    </row>
    <row r="226" spans="2:62" s="163" customFormat="1" ht="65.25" x14ac:dyDescent="0.25">
      <c r="B226" s="310" t="s">
        <v>479</v>
      </c>
      <c r="C226" s="311" t="s">
        <v>359</v>
      </c>
      <c r="D226" s="312" t="s">
        <v>480</v>
      </c>
      <c r="E226" s="313" t="s">
        <v>127</v>
      </c>
      <c r="F226" s="313" t="s">
        <v>481</v>
      </c>
      <c r="G226" s="304" t="s">
        <v>482</v>
      </c>
      <c r="H226" s="305" t="s">
        <v>109</v>
      </c>
      <c r="I226" s="306" t="str">
        <f>IF(H226&lt;=0,"",IF(H226="No se ha presentado en los últimos 5 años","Rara vez",IF(H226="Al menos 1 vez en los últimos 5 años","Improbable",IF(H226="Al menos 1 vez en los últimos 2 años","Posible",IF(H226="Al menos 1 vez en el último año","Probable",IF(H226="Más de 1 vez al año","Casi Seguro"))))))</f>
        <v>Rara vez</v>
      </c>
      <c r="J226" s="307">
        <f>IF(I226="","",IF(I226="Rara vez",0.2,IF(I226="Improbable",0.4,IF(I226="Posible",0.6,IF(I226="Probable",0.8,IF(I226="Casi Seguro",1,))))))</f>
        <v>0.2</v>
      </c>
      <c r="K226" s="308" t="s">
        <v>131</v>
      </c>
      <c r="L226" s="307" t="str">
        <f>IF(NOT(ISERROR(MATCH(K226,'Tabla Impacto'!$B$220:$B$222,0))),'Tabla Impacto'!$F$222&amp;"Por favor no seleccionar los criterios de impacto(Criterios para calificar el impacto)",K226)</f>
        <v xml:space="preserve">Responder afirmativamente de DOCE a DIECINUEVE </v>
      </c>
      <c r="M226" s="306" t="str">
        <f>IF(OR(L226='Tabla Impacto'!$C$5),"Moderado",IF(OR(L226='Tabla Impacto'!$C$6),"Mayor",IF(OR(L226='Tabla Impacto'!$C$7),"Catastrófico","")))</f>
        <v>Catastrófico</v>
      </c>
      <c r="N226" s="307">
        <f>IF(M226="","",IF(M226="Leve",0.2,IF(M226="Menor",0.4,IF(M226="Moderado",0.6,IF(M226="Mayor",0.8,IF(M226="Catastrófico",1,))))))</f>
        <v>1</v>
      </c>
      <c r="O226" s="309" t="str">
        <f>IF(OR(AND(I226="Rara vez",M226="Leve"),AND(I226="Rara vez",M226="Menor"),AND(I226="Improbable",M226="Leve")),"Bajo",IF(OR(AND(I226="Rara vez",M226="Moderado"),AND(I226="Improbable",M226="Menor"),AND(I226="Improbable",M226="Moderado"),AND(I226="Posible",M226="Leve"),AND(I226="Posible",M226="Menor"),AND(I226="Posible",M226="Moderado"),AND(I226="Probable",M226="Leve"),AND(I226="Probable",M226="Menor")),"Moderado",IF(OR(AND(I226="Rara vez",M226="Mayor"),AND(I226="Improbable",M226="Mayor"),AND(I226="Posible",M226="Mayor"),AND(I226="Probable",M226="Moderado"),AND(I226="Probable",M226="Mayor"),AND(I226="Casi Seguro",M226="Leve"),AND(I226="Casi Seguro",M226="Menor"),AND(I226="Casi Seguro",M226="Moderado"),AND(I226="Casi Seguro",M226="Mayor")),"Alto",IF(OR(AND(I226="Rara vez",M226="Catastrófico"),AND(I226="Improbable",M226="Catastrófico"),AND(I226="Posible",M226="Catastrófico"),AND(I226="Probable",M226="Catastrófico"),AND(I226="Casi Seguro",M226="Catastrófico")),"Extremo",""))))</f>
        <v>Extremo</v>
      </c>
      <c r="P226" s="168">
        <v>1</v>
      </c>
      <c r="Q226" s="129" t="s">
        <v>483</v>
      </c>
      <c r="R226" s="169" t="str">
        <f>IF(OR(S226="Preventivo",S226="Detectivo"),"Probabilidad",IF(S226="Correctivo","Impacto",""))</f>
        <v>Probabilidad</v>
      </c>
      <c r="S226" s="170" t="s">
        <v>133</v>
      </c>
      <c r="T226" s="170" t="s">
        <v>113</v>
      </c>
      <c r="U226" s="171" t="str">
        <f>IF(AND(S226="Preventivo",T226="Automático"),"50%",IF(AND(S226="Preventivo",T226="Manual"),"40%",IF(AND(S226="Detectivo",T226="Automático"),"40%",IF(AND(S226="Detectivo",T226="Manual"),"30%",IF(AND(S226="Correctivo",T226="Automático"),"35%",IF(AND(S226="Correctivo",T226="Manual"),"25%",""))))))</f>
        <v>30%</v>
      </c>
      <c r="V226" s="170" t="s">
        <v>119</v>
      </c>
      <c r="W226" s="170" t="s">
        <v>115</v>
      </c>
      <c r="X226" s="170" t="s">
        <v>134</v>
      </c>
      <c r="Y226" s="172">
        <f>IFERROR(IF(R226="Probabilidad",(J226-(+J226*U226)),IF(R226="Impacto",J226,"")),"")</f>
        <v>0.14000000000000001</v>
      </c>
      <c r="Z226" s="173" t="str">
        <f>IFERROR(IF(Y226="","",IF(Y226&lt;=0.2,"Rara vez",IF(Y226&lt;=0.4,"Improbable",IF(Y226&lt;=0.6,"Posible",IF(Y226&lt;=0.8,"Probable","Casi Seguro"))))),"")</f>
        <v>Rara vez</v>
      </c>
      <c r="AA226" s="171">
        <f>+Y226</f>
        <v>0.14000000000000001</v>
      </c>
      <c r="AB226" s="173" t="str">
        <f>IFERROR(IF(AC226="","",IF(AC226&lt;=0.6,"Moderado",IF(AC226&lt;=0.8,"Mayor","Catastrófico"))),"")</f>
        <v>Catastrófico</v>
      </c>
      <c r="AC226" s="171">
        <f>IFERROR(IF(R226="Impacto",(N226-(+N226*U226)),IF(R226="Probabilidad",N226,"")),"")</f>
        <v>1</v>
      </c>
      <c r="AD226" s="174" t="str">
        <f t="shared" ref="AD226:AD236" si="336">IFERROR(IF(OR(AND(Z226="Rara vez",AB226="Leve"),AND(Z226="Rara vez",AB226="Menor"),AND(Z226="Improbable",AB226="Leve")),"Bajo",IF(OR(AND(Z226="Rara vez",AB226="Moderado"),AND(Z226="Improbable",AB226="Menor"),AND(Z226="Improbable",AB226="Moderado"),AND(Z226="Posible",AB226="Leve"),AND(Z226="Posible",AB226="Menor"),AND(Z226="Posible",AB226="Moderado"),AND(Z226="Probable",AB226="Leve"),AND(Z226="Probable",AB226="Menor")),"Moderado",IF(OR(AND(Z226="Rara vez",AB226="Mayor"),AND(Z226="Improbable",AB226="Mayor"),AND(Z226="Posible",AB226="Mayor"),AND(Z226="Probable",AB226="Moderado"),AND(Z226="Probable",AB226="Mayor"),AND(Z226="Casi Seguro",AB226="Leve"),AND(Z226="Casi Seguro",AB226="Menor"),AND(Z226="Casi Seguro",AB226="Moderado"),AND(Z226="Casi Seguro",AB226="Mayor")),"Alto",IF(OR(AND(Z226="Rara vez",AB226="Catastrófico"),AND(Z226="Improbable",AB226="Catastrófico"),AND(Z226="Posible",AB226="Catastrófico"),AND(Z226="Probable",AB226="Catastrófico"),AND(Z226="Casi Seguro",AB226="Catastrófico")),"Extremo","")))),"")</f>
        <v>Extremo</v>
      </c>
      <c r="AE226" s="170"/>
      <c r="AF226" s="123"/>
      <c r="AG226" s="123"/>
      <c r="AH226" s="175"/>
      <c r="AI226" s="176"/>
      <c r="AJ226" s="177"/>
      <c r="AK226" s="522"/>
      <c r="AL226" s="534"/>
      <c r="AM226" s="534"/>
      <c r="AN226" s="534"/>
      <c r="AO226" s="534"/>
      <c r="AP226" s="534"/>
      <c r="AQ226" s="534"/>
      <c r="AR226" s="534"/>
      <c r="AS226" s="178"/>
      <c r="AT226" s="178"/>
      <c r="AU226" s="178"/>
      <c r="AV226" s="178"/>
      <c r="AW226" s="178"/>
      <c r="AX226" s="178"/>
      <c r="AY226" s="178"/>
      <c r="AZ226" s="178"/>
      <c r="BA226" s="178"/>
      <c r="BB226" s="178"/>
      <c r="BC226" s="178"/>
      <c r="BD226" s="178"/>
      <c r="BE226" s="178"/>
      <c r="BF226" s="178"/>
      <c r="BG226" s="178"/>
      <c r="BH226" s="178"/>
      <c r="BI226" s="178"/>
      <c r="BJ226" s="178"/>
    </row>
    <row r="227" spans="2:62" ht="75" x14ac:dyDescent="0.2">
      <c r="B227" s="310"/>
      <c r="C227" s="311"/>
      <c r="D227" s="312"/>
      <c r="E227" s="313"/>
      <c r="F227" s="313"/>
      <c r="G227" s="304"/>
      <c r="H227" s="305"/>
      <c r="I227" s="306"/>
      <c r="J227" s="307"/>
      <c r="K227" s="308"/>
      <c r="L227" s="307">
        <f>IF(NOT(ISERROR(MATCH(K227,_xlfn.ANCHORARRAY(G477),0))),J479&amp;"Por favor no seleccionar los criterios de impacto",K227)</f>
        <v>0</v>
      </c>
      <c r="M227" s="306"/>
      <c r="N227" s="307"/>
      <c r="O227" s="309"/>
      <c r="P227" s="168">
        <v>2</v>
      </c>
      <c r="Q227" s="129" t="s">
        <v>484</v>
      </c>
      <c r="R227" s="169" t="str">
        <f>IF(OR(S227="Preventivo",S227="Detectivo"),"Probabilidad",IF(S227="Correctivo","Impacto",""))</f>
        <v>Probabilidad</v>
      </c>
      <c r="S227" s="170" t="s">
        <v>133</v>
      </c>
      <c r="T227" s="170" t="s">
        <v>113</v>
      </c>
      <c r="U227" s="171" t="str">
        <f t="shared" ref="U227:U228" si="337">IF(AND(S227="Preventivo",T227="Automático"),"50%",IF(AND(S227="Preventivo",T227="Manual"),"40%",IF(AND(S227="Detectivo",T227="Automático"),"40%",IF(AND(S227="Detectivo",T227="Manual"),"30%",IF(AND(S227="Correctivo",T227="Automático"),"35%",IF(AND(S227="Correctivo",T227="Manual"),"25%",""))))))</f>
        <v>30%</v>
      </c>
      <c r="V227" s="170" t="s">
        <v>114</v>
      </c>
      <c r="W227" s="170" t="s">
        <v>115</v>
      </c>
      <c r="X227" s="170" t="s">
        <v>134</v>
      </c>
      <c r="Y227" s="172">
        <f>IFERROR(IF(AND(R226="Probabilidad",R227="Probabilidad"),(AA226-(+AA226*U227)),IF(R227="Probabilidad",(J226-(+J226*U227)),IF(R227="Impacto",AA226,""))),"")</f>
        <v>9.8000000000000004E-2</v>
      </c>
      <c r="Z227" s="173" t="str">
        <f t="shared" ref="Z227:Z228" si="338">IFERROR(IF(Y227="","",IF(Y227&lt;=0.2,"Rara vez",IF(Y227&lt;=0.4,"Improbable",IF(Y227&lt;=0.6,"Posible",IF(Y227&lt;=0.8,"Probable","Casi Seguro"))))),"")</f>
        <v>Rara vez</v>
      </c>
      <c r="AA227" s="171">
        <f t="shared" ref="AA227:AA228" si="339">+Y227</f>
        <v>9.8000000000000004E-2</v>
      </c>
      <c r="AB227" s="173" t="str">
        <f t="shared" ref="AB227:AB228" si="340">IFERROR(IF(AC227="","",IF(AC227&lt;=0.6,"Moderado",IF(AC227&lt;=0.8,"Mayor","Catastrófico"))),"")</f>
        <v>Catastrófico</v>
      </c>
      <c r="AC227" s="171">
        <f>IFERROR(IF(AND(R226="Impacto",R227="Impacto"),(AC226-(+AC226*U227)),IF(R227="Impacto",(N226-(+N226*U227)),IF(R227="Probabilidad",AC226,""))),"")</f>
        <v>1</v>
      </c>
      <c r="AD227" s="174" t="str">
        <f t="shared" si="336"/>
        <v>Extremo</v>
      </c>
      <c r="AE227" s="170"/>
      <c r="AF227" s="132"/>
      <c r="AG227" s="194"/>
      <c r="AH227" s="195"/>
      <c r="AI227" s="176"/>
      <c r="AJ227" s="181"/>
      <c r="AK227" s="522"/>
      <c r="AL227" s="535"/>
      <c r="AM227" s="535"/>
      <c r="AN227" s="535"/>
      <c r="AO227" s="535"/>
      <c r="AP227" s="535"/>
      <c r="AQ227" s="535"/>
      <c r="AR227" s="535"/>
      <c r="AS227" s="158"/>
      <c r="AT227" s="158"/>
      <c r="AU227" s="158"/>
      <c r="AV227" s="158"/>
      <c r="AW227" s="158"/>
      <c r="AX227" s="158"/>
      <c r="AY227" s="158"/>
      <c r="AZ227" s="158"/>
      <c r="BA227" s="158"/>
      <c r="BB227" s="158"/>
      <c r="BC227" s="158"/>
      <c r="BD227" s="158"/>
      <c r="BE227" s="158"/>
      <c r="BF227" s="158"/>
      <c r="BG227" s="158"/>
      <c r="BH227" s="158"/>
      <c r="BI227" s="158"/>
      <c r="BJ227" s="158"/>
    </row>
    <row r="228" spans="2:62" ht="75" x14ac:dyDescent="0.2">
      <c r="B228" s="310"/>
      <c r="C228" s="311"/>
      <c r="D228" s="312"/>
      <c r="E228" s="313"/>
      <c r="F228" s="313"/>
      <c r="G228" s="304"/>
      <c r="H228" s="305"/>
      <c r="I228" s="306"/>
      <c r="J228" s="307"/>
      <c r="K228" s="308"/>
      <c r="L228" s="307">
        <f>IF(NOT(ISERROR(MATCH(K228,_xlfn.ANCHORARRAY(G478),0))),J480&amp;"Por favor no seleccionar los criterios de impacto",K228)</f>
        <v>0</v>
      </c>
      <c r="M228" s="306"/>
      <c r="N228" s="307"/>
      <c r="O228" s="309"/>
      <c r="P228" s="168">
        <v>3</v>
      </c>
      <c r="Q228" s="145" t="s">
        <v>485</v>
      </c>
      <c r="R228" s="169" t="s">
        <v>136</v>
      </c>
      <c r="S228" s="182" t="s">
        <v>137</v>
      </c>
      <c r="T228" s="170" t="s">
        <v>113</v>
      </c>
      <c r="U228" s="171" t="str">
        <f t="shared" si="337"/>
        <v>25%</v>
      </c>
      <c r="V228" s="170" t="s">
        <v>114</v>
      </c>
      <c r="W228" s="170" t="s">
        <v>115</v>
      </c>
      <c r="X228" s="170" t="s">
        <v>134</v>
      </c>
      <c r="Y228" s="172">
        <f>IFERROR(IF(AND(R227="Probabilidad",R228="Probabilidad"),(AA227-(+AA227*U228)),IF(AND(R227="Impacto",R228="Probabilidad"),(AA226-(+AA226*U228)),IF(R228="Impacto",AA227,""))),"")</f>
        <v>9.8000000000000004E-2</v>
      </c>
      <c r="Z228" s="173" t="str">
        <f t="shared" si="338"/>
        <v>Rara vez</v>
      </c>
      <c r="AA228" s="171">
        <f t="shared" si="339"/>
        <v>9.8000000000000004E-2</v>
      </c>
      <c r="AB228" s="173" t="str">
        <f t="shared" si="340"/>
        <v>Mayor</v>
      </c>
      <c r="AC228" s="171">
        <f>IFERROR(IF(AND(R227="Impacto",R228="Impacto"),(AC227-(+AC227*U228)),IF(AND(R227="Probabilidad",R228="Impacto"),(AC226-(+AC226*U228)),IF(R228="Probabilidad",AC227,""))),"")</f>
        <v>0.75</v>
      </c>
      <c r="AD228" s="174" t="str">
        <f t="shared" si="336"/>
        <v>Alto</v>
      </c>
      <c r="AE228" s="196"/>
      <c r="AF228" s="136"/>
      <c r="AG228" s="137"/>
      <c r="AH228" s="131"/>
      <c r="AI228" s="187"/>
      <c r="AJ228" s="188"/>
      <c r="AK228" s="523"/>
      <c r="AL228" s="535"/>
      <c r="AM228" s="535"/>
      <c r="AN228" s="535"/>
      <c r="AO228" s="535"/>
      <c r="AP228" s="535"/>
      <c r="AQ228" s="535"/>
      <c r="AR228" s="535"/>
      <c r="AS228" s="158"/>
      <c r="AT228" s="158"/>
      <c r="AU228" s="158"/>
      <c r="AV228" s="158"/>
      <c r="AW228" s="158"/>
      <c r="AX228" s="158"/>
      <c r="AY228" s="158"/>
      <c r="AZ228" s="158"/>
      <c r="BA228" s="158"/>
      <c r="BB228" s="158"/>
      <c r="BC228" s="158"/>
      <c r="BD228" s="158"/>
      <c r="BE228" s="158"/>
      <c r="BF228" s="158"/>
      <c r="BG228" s="158"/>
      <c r="BH228" s="158"/>
      <c r="BI228" s="158"/>
      <c r="BJ228" s="158"/>
    </row>
    <row r="229" spans="2:62" s="163" customFormat="1" ht="76.5" x14ac:dyDescent="0.25">
      <c r="B229" s="310" t="s">
        <v>486</v>
      </c>
      <c r="C229" s="311" t="s">
        <v>220</v>
      </c>
      <c r="D229" s="312" t="s">
        <v>487</v>
      </c>
      <c r="E229" s="313" t="s">
        <v>127</v>
      </c>
      <c r="F229" s="313" t="s">
        <v>481</v>
      </c>
      <c r="G229" s="304" t="s">
        <v>337</v>
      </c>
      <c r="H229" s="305" t="s">
        <v>109</v>
      </c>
      <c r="I229" s="306" t="str">
        <f>IF(H229&lt;=0,"",IF(H229="No se ha presentado en los últimos 5 años","Rara vez",IF(H229="Al menos 1 vez en los últimos 5 años","Improbable",IF(H229="Al menos 1 vez en los últimos 2 años","Posible",IF(H229="Al menos 1 vez en el último año","Probable",IF(H229="Más de 1 vez al año","Casi Seguro"))))))</f>
        <v>Rara vez</v>
      </c>
      <c r="J229" s="307">
        <f>IF(I229="","",IF(I229="Rara vez",0.2,IF(I229="Improbable",0.4,IF(I229="Posible",0.6,IF(I229="Probable",0.8,IF(I229="Casi Seguro",1,))))))</f>
        <v>0.2</v>
      </c>
      <c r="K229" s="308" t="s">
        <v>131</v>
      </c>
      <c r="L229" s="307" t="str">
        <f>IF(NOT(ISERROR(MATCH(K229,'Tabla Impacto'!$B$220:$B$222,0))),'Tabla Impacto'!$F$222&amp;"Por favor no seleccionar los criterios de impacto(Criterios para calificar el impacto)",K229)</f>
        <v xml:space="preserve">Responder afirmativamente de DOCE a DIECINUEVE </v>
      </c>
      <c r="M229" s="306" t="str">
        <f>IF(OR(L229='Tabla Impacto'!$C$5),"Moderado",IF(OR(L229='Tabla Impacto'!$C$6),"Mayor",IF(OR(L229='Tabla Impacto'!$C$7),"Catastrófico","")))</f>
        <v>Catastrófico</v>
      </c>
      <c r="N229" s="307">
        <f>IF(M229="","",IF(M229="Leve",0.2,IF(M229="Menor",0.4,IF(M229="Moderado",0.6,IF(M229="Mayor",0.8,IF(M229="Catastrófico",1,))))))</f>
        <v>1</v>
      </c>
      <c r="O229" s="309" t="str">
        <f>IF(OR(AND(I229="Rara vez",M229="Leve"),AND(I229="Rara vez",M229="Menor"),AND(I229="Improbable",M229="Leve")),"Bajo",IF(OR(AND(I229="Rara vez",M229="Moderado"),AND(I229="Improbable",M229="Menor"),AND(I229="Improbable",M229="Moderado"),AND(I229="Posible",M229="Leve"),AND(I229="Posible",M229="Menor"),AND(I229="Posible",M229="Moderado"),AND(I229="Probable",M229="Leve"),AND(I229="Probable",M229="Menor")),"Moderado",IF(OR(AND(I229="Rara vez",M229="Mayor"),AND(I229="Improbable",M229="Mayor"),AND(I229="Posible",M229="Mayor"),AND(I229="Probable",M229="Moderado"),AND(I229="Probable",M229="Mayor"),AND(I229="Casi Seguro",M229="Leve"),AND(I229="Casi Seguro",M229="Menor"),AND(I229="Casi Seguro",M229="Moderado"),AND(I229="Casi Seguro",M229="Mayor")),"Alto",IF(OR(AND(I229="Rara vez",M229="Catastrófico"),AND(I229="Improbable",M229="Catastrófico"),AND(I229="Posible",M229="Catastrófico"),AND(I229="Probable",M229="Catastrófico"),AND(I229="Casi Seguro",M229="Catastrófico")),"Extremo",""))))</f>
        <v>Extremo</v>
      </c>
      <c r="P229" s="168">
        <v>1</v>
      </c>
      <c r="Q229" s="146" t="s">
        <v>488</v>
      </c>
      <c r="R229" s="169" t="str">
        <f>IF(OR(S229="Preventivo",S229="Detectivo"),"Probabilidad",IF(S229="Correctivo","Impacto",""))</f>
        <v>Probabilidad</v>
      </c>
      <c r="S229" s="170" t="s">
        <v>112</v>
      </c>
      <c r="T229" s="170" t="s">
        <v>113</v>
      </c>
      <c r="U229" s="171" t="str">
        <f>IF(AND(S229="Preventivo",T229="Automático"),"50%",IF(AND(S229="Preventivo",T229="Manual"),"40%",IF(AND(S229="Detectivo",T229="Automático"),"40%",IF(AND(S229="Detectivo",T229="Manual"),"30%",IF(AND(S229="Correctivo",T229="Automático"),"35%",IF(AND(S229="Correctivo",T229="Manual"),"25%",""))))))</f>
        <v>40%</v>
      </c>
      <c r="V229" s="170" t="s">
        <v>119</v>
      </c>
      <c r="W229" s="170" t="s">
        <v>115</v>
      </c>
      <c r="X229" s="170" t="s">
        <v>134</v>
      </c>
      <c r="Y229" s="172">
        <f>IFERROR(IF(R229="Probabilidad",(J229-(+J229*U229)),IF(R229="Impacto",J229,"")),"")</f>
        <v>0.12</v>
      </c>
      <c r="Z229" s="173" t="str">
        <f>IFERROR(IF(Y229="","",IF(Y229&lt;=0.2,"Rara vez",IF(Y229&lt;=0.4,"Improbable",IF(Y229&lt;=0.6,"Posible",IF(Y229&lt;=0.8,"Probable","Casi Seguro"))))),"")</f>
        <v>Rara vez</v>
      </c>
      <c r="AA229" s="171">
        <f>+Y229</f>
        <v>0.12</v>
      </c>
      <c r="AB229" s="173" t="str">
        <f>IFERROR(IF(AC229="","",IF(AC229&lt;=0.6,"Moderado",IF(AC229&lt;=0.8,"Mayor","Catastrófico"))),"")</f>
        <v>Catastrófico</v>
      </c>
      <c r="AC229" s="171">
        <f>IFERROR(IF(R229="Impacto",(N229-(+N229*U229)),IF(R229="Probabilidad",N229,"")),"")</f>
        <v>1</v>
      </c>
      <c r="AD229" s="174" t="str">
        <f t="shared" si="336"/>
        <v>Extremo</v>
      </c>
      <c r="AE229" s="170"/>
      <c r="AF229" s="123"/>
      <c r="AG229" s="123"/>
      <c r="AH229" s="175"/>
      <c r="AI229" s="176"/>
      <c r="AJ229" s="177"/>
      <c r="AK229" s="522"/>
      <c r="AL229" s="534"/>
      <c r="AM229" s="534"/>
      <c r="AN229" s="534"/>
      <c r="AO229" s="534"/>
      <c r="AP229" s="534"/>
      <c r="AQ229" s="534"/>
      <c r="AR229" s="534"/>
      <c r="AS229" s="178"/>
      <c r="AT229" s="178"/>
      <c r="AU229" s="178"/>
      <c r="AV229" s="178"/>
      <c r="AW229" s="178"/>
      <c r="AX229" s="178"/>
      <c r="AY229" s="178"/>
      <c r="AZ229" s="178"/>
      <c r="BA229" s="178"/>
      <c r="BB229" s="178"/>
      <c r="BC229" s="178"/>
      <c r="BD229" s="178"/>
      <c r="BE229" s="178"/>
      <c r="BF229" s="178"/>
      <c r="BG229" s="178"/>
      <c r="BH229" s="178"/>
      <c r="BI229" s="178"/>
      <c r="BJ229" s="178"/>
    </row>
    <row r="230" spans="2:62" ht="65.25" x14ac:dyDescent="0.2">
      <c r="B230" s="310"/>
      <c r="C230" s="311"/>
      <c r="D230" s="312"/>
      <c r="E230" s="313"/>
      <c r="F230" s="313"/>
      <c r="G230" s="304"/>
      <c r="H230" s="305"/>
      <c r="I230" s="306"/>
      <c r="J230" s="307"/>
      <c r="K230" s="308"/>
      <c r="L230" s="307">
        <f>IF(NOT(ISERROR(MATCH(K230,_xlfn.ANCHORARRAY(G480),0))),J482&amp;"Por favor no seleccionar los criterios de impacto",K230)</f>
        <v>0</v>
      </c>
      <c r="M230" s="306"/>
      <c r="N230" s="307"/>
      <c r="O230" s="309"/>
      <c r="P230" s="168">
        <v>2</v>
      </c>
      <c r="Q230" s="146" t="s">
        <v>489</v>
      </c>
      <c r="R230" s="169" t="str">
        <f>IF(OR(S230="Preventivo",S230="Detectivo"),"Probabilidad",IF(S230="Correctivo","Impacto",""))</f>
        <v>Probabilidad</v>
      </c>
      <c r="S230" s="170" t="s">
        <v>133</v>
      </c>
      <c r="T230" s="170" t="s">
        <v>113</v>
      </c>
      <c r="U230" s="171" t="str">
        <f t="shared" ref="U230" si="341">IF(AND(S230="Preventivo",T230="Automático"),"50%",IF(AND(S230="Preventivo",T230="Manual"),"40%",IF(AND(S230="Detectivo",T230="Automático"),"40%",IF(AND(S230="Detectivo",T230="Manual"),"30%",IF(AND(S230="Correctivo",T230="Automático"),"35%",IF(AND(S230="Correctivo",T230="Manual"),"25%",""))))))</f>
        <v>30%</v>
      </c>
      <c r="V230" s="170" t="s">
        <v>119</v>
      </c>
      <c r="W230" s="170" t="s">
        <v>115</v>
      </c>
      <c r="X230" s="170" t="s">
        <v>134</v>
      </c>
      <c r="Y230" s="172">
        <f>IFERROR(IF(AND(R229="Probabilidad",R230="Probabilidad"),(AA229-(+AA229*U230)),IF(R230="Probabilidad",(J229-(+J229*U230)),IF(R230="Impacto",AA229,""))),"")</f>
        <v>8.3999999999999991E-2</v>
      </c>
      <c r="Z230" s="173" t="str">
        <f t="shared" ref="Z230" si="342">IFERROR(IF(Y230="","",IF(Y230&lt;=0.2,"Rara vez",IF(Y230&lt;=0.4,"Improbable",IF(Y230&lt;=0.6,"Posible",IF(Y230&lt;=0.8,"Probable","Casi Seguro"))))),"")</f>
        <v>Rara vez</v>
      </c>
      <c r="AA230" s="171">
        <f t="shared" ref="AA230" si="343">+Y230</f>
        <v>8.3999999999999991E-2</v>
      </c>
      <c r="AB230" s="173" t="str">
        <f t="shared" ref="AB230" si="344">IFERROR(IF(AC230="","",IF(AC230&lt;=0.6,"Moderado",IF(AC230&lt;=0.8,"Mayor","Catastrófico"))),"")</f>
        <v>Catastrófico</v>
      </c>
      <c r="AC230" s="171">
        <f>IFERROR(IF(AND(R229="Impacto",R230="Impacto"),(AC229-(+AC229*U230)),IF(R230="Impacto",(N229-(+N229*U230)),IF(R230="Probabilidad",AC229,""))),"")</f>
        <v>1</v>
      </c>
      <c r="AD230" s="174" t="str">
        <f t="shared" si="336"/>
        <v>Extremo</v>
      </c>
      <c r="AE230" s="170"/>
      <c r="AF230" s="132"/>
      <c r="AG230" s="194"/>
      <c r="AH230" s="195"/>
      <c r="AI230" s="176"/>
      <c r="AJ230" s="181"/>
      <c r="AK230" s="522"/>
      <c r="AL230" s="535"/>
      <c r="AM230" s="535"/>
      <c r="AN230" s="535"/>
      <c r="AO230" s="535"/>
      <c r="AP230" s="535"/>
      <c r="AQ230" s="535"/>
      <c r="AR230" s="535"/>
      <c r="AS230" s="158"/>
      <c r="AT230" s="158"/>
      <c r="AU230" s="158"/>
      <c r="AV230" s="158"/>
      <c r="AW230" s="158"/>
      <c r="AX230" s="158"/>
      <c r="AY230" s="158"/>
      <c r="AZ230" s="158"/>
      <c r="BA230" s="158"/>
      <c r="BB230" s="158"/>
      <c r="BC230" s="158"/>
      <c r="BD230" s="158"/>
      <c r="BE230" s="158"/>
      <c r="BF230" s="158"/>
      <c r="BG230" s="158"/>
      <c r="BH230" s="158"/>
      <c r="BI230" s="158"/>
      <c r="BJ230" s="158"/>
    </row>
    <row r="231" spans="2:62" s="163" customFormat="1" ht="76.5" x14ac:dyDescent="0.25">
      <c r="B231" s="310" t="s">
        <v>490</v>
      </c>
      <c r="C231" s="311" t="s">
        <v>314</v>
      </c>
      <c r="D231" s="312" t="s">
        <v>491</v>
      </c>
      <c r="E231" s="313" t="s">
        <v>127</v>
      </c>
      <c r="F231" s="313" t="s">
        <v>492</v>
      </c>
      <c r="G231" s="304" t="s">
        <v>493</v>
      </c>
      <c r="H231" s="305" t="s">
        <v>109</v>
      </c>
      <c r="I231" s="306" t="str">
        <f>IF(H231&lt;=0,"",IF(H231="No se ha presentado en los últimos 5 años","Rara vez",IF(H231="Al menos 1 vez en los últimos 5 años","Improbable",IF(H231="Al menos 1 vez en los últimos 2 años","Posible",IF(H231="Al menos 1 vez en el último año","Probable",IF(H231="Más de 1 vez al año","Casi Seguro"))))))</f>
        <v>Rara vez</v>
      </c>
      <c r="J231" s="307">
        <f>IF(I231="","",IF(I231="Rara vez",0.2,IF(I231="Improbable",0.4,IF(I231="Posible",0.6,IF(I231="Probable",0.8,IF(I231="Casi Seguro",1,))))))</f>
        <v>0.2</v>
      </c>
      <c r="K231" s="308" t="s">
        <v>131</v>
      </c>
      <c r="L231" s="307" t="str">
        <f>IF(NOT(ISERROR(MATCH(K231,'Tabla Impacto'!$B$220:$B$222,0))),'Tabla Impacto'!$F$222&amp;"Por favor no seleccionar los criterios de impacto(Criterios para calificar el impacto)",K231)</f>
        <v xml:space="preserve">Responder afirmativamente de DOCE a DIECINUEVE </v>
      </c>
      <c r="M231" s="306" t="str">
        <f>IF(OR(L231='Tabla Impacto'!$C$5),"Moderado",IF(OR(L231='Tabla Impacto'!$C$6),"Mayor",IF(OR(L231='Tabla Impacto'!$C$7),"Catastrófico","")))</f>
        <v>Catastrófico</v>
      </c>
      <c r="N231" s="307">
        <f>IF(M231="","",IF(M231="Leve",0.2,IF(M231="Menor",0.4,IF(M231="Moderado",0.6,IF(M231="Mayor",0.8,IF(M231="Catastrófico",1,))))))</f>
        <v>1</v>
      </c>
      <c r="O231" s="309" t="str">
        <f>IF(OR(AND(I231="Rara vez",M231="Leve"),AND(I231="Rara vez",M231="Menor"),AND(I231="Improbable",M231="Leve")),"Bajo",IF(OR(AND(I231="Rara vez",M231="Moderado"),AND(I231="Improbable",M231="Menor"),AND(I231="Improbable",M231="Moderado"),AND(I231="Posible",M231="Leve"),AND(I231="Posible",M231="Menor"),AND(I231="Posible",M231="Moderado"),AND(I231="Probable",M231="Leve"),AND(I231="Probable",M231="Menor")),"Moderado",IF(OR(AND(I231="Rara vez",M231="Mayor"),AND(I231="Improbable",M231="Mayor"),AND(I231="Posible",M231="Mayor"),AND(I231="Probable",M231="Moderado"),AND(I231="Probable",M231="Mayor"),AND(I231="Casi Seguro",M231="Leve"),AND(I231="Casi Seguro",M231="Menor"),AND(I231="Casi Seguro",M231="Moderado"),AND(I231="Casi Seguro",M231="Mayor")),"Alto",IF(OR(AND(I231="Rara vez",M231="Catastrófico"),AND(I231="Improbable",M231="Catastrófico"),AND(I231="Posible",M231="Catastrófico"),AND(I231="Probable",M231="Catastrófico"),AND(I231="Casi Seguro",M231="Catastrófico")),"Extremo",""))))</f>
        <v>Extremo</v>
      </c>
      <c r="P231" s="168">
        <v>1</v>
      </c>
      <c r="Q231" s="146" t="s">
        <v>494</v>
      </c>
      <c r="R231" s="169" t="str">
        <f>IF(OR(S231="Preventivo",S231="Detectivo"),"Probabilidad",IF(S231="Correctivo","Impacto",""))</f>
        <v>Probabilidad</v>
      </c>
      <c r="S231" s="170" t="s">
        <v>112</v>
      </c>
      <c r="T231" s="170" t="s">
        <v>113</v>
      </c>
      <c r="U231" s="171" t="str">
        <f>IF(AND(S231="Preventivo",T231="Automático"),"50%",IF(AND(S231="Preventivo",T231="Manual"),"40%",IF(AND(S231="Detectivo",T231="Automático"),"40%",IF(AND(S231="Detectivo",T231="Manual"),"30%",IF(AND(S231="Correctivo",T231="Automático"),"35%",IF(AND(S231="Correctivo",T231="Manual"),"25%",""))))))</f>
        <v>40%</v>
      </c>
      <c r="V231" s="170" t="s">
        <v>114</v>
      </c>
      <c r="W231" s="170" t="s">
        <v>115</v>
      </c>
      <c r="X231" s="170" t="s">
        <v>134</v>
      </c>
      <c r="Y231" s="172">
        <f>IFERROR(IF(R231="Probabilidad",(J231-(+J231*U231)),IF(R231="Impacto",J231,"")),"")</f>
        <v>0.12</v>
      </c>
      <c r="Z231" s="173" t="str">
        <f>IFERROR(IF(Y231="","",IF(Y231&lt;=0.2,"Rara vez",IF(Y231&lt;=0.4,"Improbable",IF(Y231&lt;=0.6,"Posible",IF(Y231&lt;=0.8,"Probable","Casi Seguro"))))),"")</f>
        <v>Rara vez</v>
      </c>
      <c r="AA231" s="171">
        <f>+Y231</f>
        <v>0.12</v>
      </c>
      <c r="AB231" s="173" t="str">
        <f>IFERROR(IF(AC231="","",IF(AC231&lt;=0.6,"Moderado",IF(AC231&lt;=0.8,"Mayor","Catastrófico"))),"")</f>
        <v>Catastrófico</v>
      </c>
      <c r="AC231" s="171">
        <f>IFERROR(IF(R231="Impacto",(N231-(+N231*U231)),IF(R231="Probabilidad",N231,"")),"")</f>
        <v>1</v>
      </c>
      <c r="AD231" s="174" t="str">
        <f t="shared" si="336"/>
        <v>Extremo</v>
      </c>
      <c r="AE231" s="170"/>
      <c r="AF231" s="123"/>
      <c r="AG231" s="123"/>
      <c r="AH231" s="175"/>
      <c r="AI231" s="176"/>
      <c r="AJ231" s="177"/>
      <c r="AK231" s="522"/>
      <c r="AL231" s="534"/>
      <c r="AM231" s="534"/>
      <c r="AN231" s="534"/>
      <c r="AO231" s="534"/>
      <c r="AP231" s="534"/>
      <c r="AQ231" s="534"/>
      <c r="AR231" s="534"/>
      <c r="AS231" s="178"/>
      <c r="AT231" s="178"/>
      <c r="AU231" s="178"/>
      <c r="AV231" s="178"/>
      <c r="AW231" s="178"/>
      <c r="AX231" s="178"/>
      <c r="AY231" s="178"/>
      <c r="AZ231" s="178"/>
      <c r="BA231" s="178"/>
      <c r="BB231" s="178"/>
      <c r="BC231" s="178"/>
      <c r="BD231" s="178"/>
      <c r="BE231" s="178"/>
      <c r="BF231" s="178"/>
      <c r="BG231" s="178"/>
      <c r="BH231" s="178"/>
      <c r="BI231" s="178"/>
      <c r="BJ231" s="178"/>
    </row>
    <row r="232" spans="2:62" ht="75" x14ac:dyDescent="0.2">
      <c r="B232" s="310"/>
      <c r="C232" s="311"/>
      <c r="D232" s="312"/>
      <c r="E232" s="313"/>
      <c r="F232" s="313"/>
      <c r="G232" s="304"/>
      <c r="H232" s="305"/>
      <c r="I232" s="306"/>
      <c r="J232" s="307"/>
      <c r="K232" s="308"/>
      <c r="L232" s="307">
        <f>IF(NOT(ISERROR(MATCH(K232,_xlfn.ANCHORARRAY(G482),0))),J484&amp;"Por favor no seleccionar los criterios de impacto",K232)</f>
        <v>0</v>
      </c>
      <c r="M232" s="306"/>
      <c r="N232" s="307"/>
      <c r="O232" s="309"/>
      <c r="P232" s="168">
        <v>2</v>
      </c>
      <c r="Q232" s="146" t="s">
        <v>495</v>
      </c>
      <c r="R232" s="169" t="str">
        <f>IF(OR(S232="Preventivo",S232="Detectivo"),"Probabilidad",IF(S232="Correctivo","Impacto",""))</f>
        <v>Probabilidad</v>
      </c>
      <c r="S232" s="170" t="s">
        <v>133</v>
      </c>
      <c r="T232" s="170" t="s">
        <v>113</v>
      </c>
      <c r="U232" s="171" t="str">
        <f t="shared" ref="U232:U233" si="345">IF(AND(S232="Preventivo",T232="Automático"),"50%",IF(AND(S232="Preventivo",T232="Manual"),"40%",IF(AND(S232="Detectivo",T232="Automático"),"40%",IF(AND(S232="Detectivo",T232="Manual"),"30%",IF(AND(S232="Correctivo",T232="Automático"),"35%",IF(AND(S232="Correctivo",T232="Manual"),"25%",""))))))</f>
        <v>30%</v>
      </c>
      <c r="V232" s="170" t="s">
        <v>114</v>
      </c>
      <c r="W232" s="170" t="s">
        <v>115</v>
      </c>
      <c r="X232" s="170" t="s">
        <v>134</v>
      </c>
      <c r="Y232" s="172">
        <f>IFERROR(IF(AND(R231="Probabilidad",R232="Probabilidad"),(AA231-(+AA231*U232)),IF(R232="Probabilidad",(J231-(+J231*U232)),IF(R232="Impacto",AA231,""))),"")</f>
        <v>8.3999999999999991E-2</v>
      </c>
      <c r="Z232" s="173" t="str">
        <f t="shared" ref="Z232:Z233" si="346">IFERROR(IF(Y232="","",IF(Y232&lt;=0.2,"Rara vez",IF(Y232&lt;=0.4,"Improbable",IF(Y232&lt;=0.6,"Posible",IF(Y232&lt;=0.8,"Probable","Casi Seguro"))))),"")</f>
        <v>Rara vez</v>
      </c>
      <c r="AA232" s="171">
        <f t="shared" ref="AA232:AA233" si="347">+Y232</f>
        <v>8.3999999999999991E-2</v>
      </c>
      <c r="AB232" s="173" t="str">
        <f t="shared" ref="AB232:AB233" si="348">IFERROR(IF(AC232="","",IF(AC232&lt;=0.6,"Moderado",IF(AC232&lt;=0.8,"Mayor","Catastrófico"))),"")</f>
        <v>Catastrófico</v>
      </c>
      <c r="AC232" s="171">
        <f>IFERROR(IF(AND(R231="Impacto",R232="Impacto"),(AC231-(+AC231*U232)),IF(R232="Impacto",(N231-(+N231*U232)),IF(R232="Probabilidad",AC231,""))),"")</f>
        <v>1</v>
      </c>
      <c r="AD232" s="174" t="str">
        <f t="shared" si="336"/>
        <v>Extremo</v>
      </c>
      <c r="AE232" s="170"/>
      <c r="AF232" s="132"/>
      <c r="AG232" s="194"/>
      <c r="AH232" s="195"/>
      <c r="AI232" s="176"/>
      <c r="AJ232" s="181"/>
      <c r="AK232" s="522"/>
      <c r="AL232" s="535"/>
      <c r="AM232" s="535"/>
      <c r="AN232" s="535"/>
      <c r="AO232" s="535"/>
      <c r="AP232" s="535"/>
      <c r="AQ232" s="535"/>
      <c r="AR232" s="535"/>
      <c r="AS232" s="158"/>
      <c r="AT232" s="158"/>
      <c r="AU232" s="158"/>
      <c r="AV232" s="158"/>
      <c r="AW232" s="158"/>
      <c r="AX232" s="158"/>
      <c r="AY232" s="158"/>
      <c r="AZ232" s="158"/>
      <c r="BA232" s="158"/>
      <c r="BB232" s="158"/>
      <c r="BC232" s="158"/>
      <c r="BD232" s="158"/>
      <c r="BE232" s="158"/>
      <c r="BF232" s="158"/>
      <c r="BG232" s="158"/>
      <c r="BH232" s="158"/>
      <c r="BI232" s="158"/>
      <c r="BJ232" s="158"/>
    </row>
    <row r="233" spans="2:62" ht="75" x14ac:dyDescent="0.2">
      <c r="B233" s="310"/>
      <c r="C233" s="311"/>
      <c r="D233" s="312"/>
      <c r="E233" s="313"/>
      <c r="F233" s="313"/>
      <c r="G233" s="304"/>
      <c r="H233" s="305"/>
      <c r="I233" s="306"/>
      <c r="J233" s="307"/>
      <c r="K233" s="308"/>
      <c r="L233" s="307">
        <f>IF(NOT(ISERROR(MATCH(K233,_xlfn.ANCHORARRAY(G483),0))),J485&amp;"Por favor no seleccionar los criterios de impacto",K233)</f>
        <v>0</v>
      </c>
      <c r="M233" s="306"/>
      <c r="N233" s="307"/>
      <c r="O233" s="309"/>
      <c r="P233" s="168">
        <v>3</v>
      </c>
      <c r="Q233" s="146" t="s">
        <v>496</v>
      </c>
      <c r="R233" s="169" t="s">
        <v>136</v>
      </c>
      <c r="S233" s="182" t="s">
        <v>137</v>
      </c>
      <c r="T233" s="170" t="s">
        <v>113</v>
      </c>
      <c r="U233" s="171" t="str">
        <f t="shared" si="345"/>
        <v>25%</v>
      </c>
      <c r="V233" s="170" t="s">
        <v>114</v>
      </c>
      <c r="W233" s="170" t="s">
        <v>115</v>
      </c>
      <c r="X233" s="170" t="s">
        <v>134</v>
      </c>
      <c r="Y233" s="172">
        <f>IFERROR(IF(AND(R232="Probabilidad",R233="Probabilidad"),(AA232-(+AA232*U233)),IF(AND(R232="Impacto",R233="Probabilidad"),(AA231-(+AA231*U233)),IF(R233="Impacto",AA232,""))),"")</f>
        <v>8.3999999999999991E-2</v>
      </c>
      <c r="Z233" s="173" t="str">
        <f t="shared" si="346"/>
        <v>Rara vez</v>
      </c>
      <c r="AA233" s="171">
        <f t="shared" si="347"/>
        <v>8.3999999999999991E-2</v>
      </c>
      <c r="AB233" s="173" t="str">
        <f t="shared" si="348"/>
        <v>Mayor</v>
      </c>
      <c r="AC233" s="171">
        <f>IFERROR(IF(AND(R232="Impacto",R233="Impacto"),(AC232-(+AC232*U233)),IF(AND(R232="Probabilidad",R233="Impacto"),(AC231-(+AC231*U233)),IF(R233="Probabilidad",AC232,""))),"")</f>
        <v>0.75</v>
      </c>
      <c r="AD233" s="174" t="str">
        <f t="shared" si="336"/>
        <v>Alto</v>
      </c>
      <c r="AE233" s="196"/>
      <c r="AF233" s="136"/>
      <c r="AG233" s="137"/>
      <c r="AH233" s="131"/>
      <c r="AI233" s="187"/>
      <c r="AJ233" s="188"/>
      <c r="AK233" s="523"/>
      <c r="AL233" s="535"/>
      <c r="AM233" s="535"/>
      <c r="AN233" s="535"/>
      <c r="AO233" s="535"/>
      <c r="AP233" s="535"/>
      <c r="AQ233" s="535"/>
      <c r="AR233" s="535"/>
      <c r="AS233" s="158"/>
      <c r="AT233" s="158"/>
      <c r="AU233" s="158"/>
      <c r="AV233" s="158"/>
      <c r="AW233" s="158"/>
      <c r="AX233" s="158"/>
      <c r="AY233" s="158"/>
      <c r="AZ233" s="158"/>
      <c r="BA233" s="158"/>
      <c r="BB233" s="158"/>
      <c r="BC233" s="158"/>
      <c r="BD233" s="158"/>
      <c r="BE233" s="158"/>
      <c r="BF233" s="158"/>
      <c r="BG233" s="158"/>
      <c r="BH233" s="158"/>
      <c r="BI233" s="158"/>
      <c r="BJ233" s="158"/>
    </row>
    <row r="234" spans="2:62" s="163" customFormat="1" ht="129" customHeight="1" x14ac:dyDescent="0.25">
      <c r="B234" s="314" t="s">
        <v>497</v>
      </c>
      <c r="C234" s="315" t="s">
        <v>314</v>
      </c>
      <c r="D234" s="317" t="s">
        <v>498</v>
      </c>
      <c r="E234" s="313" t="s">
        <v>127</v>
      </c>
      <c r="F234" s="313" t="s">
        <v>336</v>
      </c>
      <c r="G234" s="304" t="s">
        <v>337</v>
      </c>
      <c r="H234" s="305" t="s">
        <v>109</v>
      </c>
      <c r="I234" s="306" t="str">
        <f>IF(H234&lt;=0,"",IF(H234="No se ha presentado en los últimos 5 años","Rara vez",IF(H234="Al menos 1 vez en los últimos 5 años","Improbable",IF(H234="Al menos 1 vez en los últimos 2 años","Posible",IF(H234="Al menos 1 vez en el último año","Probable",IF(H234="Más de 1 vez al año","Casi Seguro"))))))</f>
        <v>Rara vez</v>
      </c>
      <c r="J234" s="307">
        <f>IF(I234="","",IF(I234="Rara vez",0.2,IF(I234="Improbable",0.4,IF(I234="Posible",0.6,IF(I234="Probable",0.8,IF(I234="Casi Seguro",1,))))))</f>
        <v>0.2</v>
      </c>
      <c r="K234" s="308" t="s">
        <v>131</v>
      </c>
      <c r="L234" s="307" t="str">
        <f>IF(NOT(ISERROR(MATCH(K234,'Tabla Impacto'!$B$220:$B$222,0))),'Tabla Impacto'!$F$222&amp;"Por favor no seleccionar los criterios de impacto(Criterios para calificar el impacto)",K234)</f>
        <v xml:space="preserve">Responder afirmativamente de DOCE a DIECINUEVE </v>
      </c>
      <c r="M234" s="306" t="str">
        <f>IF(OR(L234='Tabla Impacto'!$C$5),"Moderado",IF(OR(L234='Tabla Impacto'!$C$6),"Mayor",IF(OR(L234='Tabla Impacto'!$C$7),"Catastrófico","")))</f>
        <v>Catastrófico</v>
      </c>
      <c r="N234" s="307">
        <f>IF(M234="","",IF(M234="Leve",0.2,IF(M234="Menor",0.4,IF(M234="Moderado",0.6,IF(M234="Mayor",0.8,IF(M234="Catastrófico",1,))))))</f>
        <v>1</v>
      </c>
      <c r="O234" s="309" t="str">
        <f>IF(OR(AND(I234="Rara vez",M234="Leve"),AND(I234="Rara vez",M234="Menor"),AND(I234="Improbable",M234="Leve")),"Bajo",IF(OR(AND(I234="Rara vez",M234="Moderado"),AND(I234="Improbable",M234="Menor"),AND(I234="Improbable",M234="Moderado"),AND(I234="Posible",M234="Leve"),AND(I234="Posible",M234="Menor"),AND(I234="Posible",M234="Moderado"),AND(I234="Probable",M234="Leve"),AND(I234="Probable",M234="Menor")),"Moderado",IF(OR(AND(I234="Rara vez",M234="Mayor"),AND(I234="Improbable",M234="Mayor"),AND(I234="Posible",M234="Mayor"),AND(I234="Probable",M234="Moderado"),AND(I234="Probable",M234="Mayor"),AND(I234="Casi Seguro",M234="Leve"),AND(I234="Casi Seguro",M234="Menor"),AND(I234="Casi Seguro",M234="Moderado"),AND(I234="Casi Seguro",M234="Mayor")),"Alto",IF(OR(AND(I234="Rara vez",M234="Catastrófico"),AND(I234="Improbable",M234="Catastrófico"),AND(I234="Posible",M234="Catastrófico"),AND(I234="Probable",M234="Catastrófico"),AND(I234="Casi Seguro",M234="Catastrófico")),"Extremo",""))))</f>
        <v>Extremo</v>
      </c>
      <c r="P234" s="168">
        <v>1</v>
      </c>
      <c r="Q234" s="146" t="s">
        <v>499</v>
      </c>
      <c r="R234" s="169" t="str">
        <f>IF(OR(S234="Preventivo",S234="Detectivo"),"Probabilidad",IF(S234="Correctivo","Impacto",""))</f>
        <v>Probabilidad</v>
      </c>
      <c r="S234" s="170" t="s">
        <v>112</v>
      </c>
      <c r="T234" s="170" t="s">
        <v>113</v>
      </c>
      <c r="U234" s="171" t="str">
        <f>IF(AND(S234="Preventivo",T234="Automático"),"50%",IF(AND(S234="Preventivo",T234="Manual"),"40%",IF(AND(S234="Detectivo",T234="Automático"),"40%",IF(AND(S234="Detectivo",T234="Manual"),"30%",IF(AND(S234="Correctivo",T234="Automático"),"35%",IF(AND(S234="Correctivo",T234="Manual"),"25%",""))))))</f>
        <v>40%</v>
      </c>
      <c r="V234" s="170" t="s">
        <v>119</v>
      </c>
      <c r="W234" s="170" t="s">
        <v>115</v>
      </c>
      <c r="X234" s="170" t="s">
        <v>134</v>
      </c>
      <c r="Y234" s="172">
        <f>IFERROR(IF(R234="Probabilidad",(J234-(+J234*U234)),IF(R234="Impacto",J234,"")),"")</f>
        <v>0.12</v>
      </c>
      <c r="Z234" s="173" t="str">
        <f>IFERROR(IF(Y234="","",IF(Y234&lt;=0.2,"Rara vez",IF(Y234&lt;=0.4,"Improbable",IF(Y234&lt;=0.6,"Posible",IF(Y234&lt;=0.8,"Probable","Casi Seguro"))))),"")</f>
        <v>Rara vez</v>
      </c>
      <c r="AA234" s="171">
        <f>+Y234</f>
        <v>0.12</v>
      </c>
      <c r="AB234" s="173" t="str">
        <f>IFERROR(IF(AC234="","",IF(AC234&lt;=0.6,"Moderado",IF(AC234&lt;=0.8,"Mayor","Catastrófico"))),"")</f>
        <v>Catastrófico</v>
      </c>
      <c r="AC234" s="171">
        <f>IFERROR(IF(R234="Impacto",(N234-(+N234*U234)),IF(R234="Probabilidad",N234,"")),"")</f>
        <v>1</v>
      </c>
      <c r="AD234" s="174" t="str">
        <f t="shared" si="336"/>
        <v>Extremo</v>
      </c>
      <c r="AE234" s="170"/>
      <c r="AF234" s="123"/>
      <c r="AG234" s="123"/>
      <c r="AH234" s="175"/>
      <c r="AI234" s="176"/>
      <c r="AJ234" s="177"/>
      <c r="AK234" s="522"/>
      <c r="AL234" s="534"/>
      <c r="AM234" s="534"/>
      <c r="AN234" s="534"/>
      <c r="AO234" s="534"/>
      <c r="AP234" s="534"/>
      <c r="AQ234" s="534"/>
      <c r="AR234" s="534"/>
      <c r="AS234" s="178"/>
      <c r="AT234" s="178"/>
      <c r="AU234" s="178"/>
      <c r="AV234" s="178"/>
      <c r="AW234" s="178"/>
      <c r="AX234" s="178"/>
      <c r="AY234" s="178"/>
      <c r="AZ234" s="178"/>
      <c r="BA234" s="178"/>
      <c r="BB234" s="178"/>
      <c r="BC234" s="178"/>
      <c r="BD234" s="178"/>
      <c r="BE234" s="178"/>
      <c r="BF234" s="178"/>
      <c r="BG234" s="178"/>
      <c r="BH234" s="178"/>
      <c r="BI234" s="178"/>
      <c r="BJ234" s="178"/>
    </row>
    <row r="235" spans="2:62" ht="89.25" x14ac:dyDescent="0.2">
      <c r="B235" s="314"/>
      <c r="C235" s="316"/>
      <c r="D235" s="317"/>
      <c r="E235" s="313"/>
      <c r="F235" s="313"/>
      <c r="G235" s="304"/>
      <c r="H235" s="305"/>
      <c r="I235" s="306"/>
      <c r="J235" s="307"/>
      <c r="K235" s="308"/>
      <c r="L235" s="307">
        <f>IF(NOT(ISERROR(MATCH(K235,_xlfn.ANCHORARRAY(G485),0))),J487&amp;"Por favor no seleccionar los criterios de impacto",K235)</f>
        <v>0</v>
      </c>
      <c r="M235" s="306"/>
      <c r="N235" s="307"/>
      <c r="O235" s="309"/>
      <c r="P235" s="168">
        <v>2</v>
      </c>
      <c r="Q235" s="146" t="s">
        <v>500</v>
      </c>
      <c r="R235" s="169" t="str">
        <f>IF(OR(S235="Preventivo",S235="Detectivo"),"Probabilidad",IF(S235="Correctivo","Impacto",""))</f>
        <v>Probabilidad</v>
      </c>
      <c r="S235" s="170" t="s">
        <v>133</v>
      </c>
      <c r="T235" s="170" t="s">
        <v>113</v>
      </c>
      <c r="U235" s="171" t="str">
        <f t="shared" ref="U235:U237" si="349">IF(AND(S235="Preventivo",T235="Automático"),"50%",IF(AND(S235="Preventivo",T235="Manual"),"40%",IF(AND(S235="Detectivo",T235="Automático"),"40%",IF(AND(S235="Detectivo",T235="Manual"),"30%",IF(AND(S235="Correctivo",T235="Automático"),"35%",IF(AND(S235="Correctivo",T235="Manual"),"25%",""))))))</f>
        <v>30%</v>
      </c>
      <c r="V235" s="170" t="s">
        <v>119</v>
      </c>
      <c r="W235" s="170" t="s">
        <v>115</v>
      </c>
      <c r="X235" s="170" t="s">
        <v>134</v>
      </c>
      <c r="Y235" s="172">
        <f>IFERROR(IF(AND(R234="Probabilidad",R235="Probabilidad"),(AA234-(+AA234*U235)),IF(R235="Probabilidad",(J234-(+J234*U235)),IF(R235="Impacto",AA234,""))),"")</f>
        <v>8.3999999999999991E-2</v>
      </c>
      <c r="Z235" s="173" t="str">
        <f t="shared" ref="Z235:Z237" si="350">IFERROR(IF(Y235="","",IF(Y235&lt;=0.2,"Rara vez",IF(Y235&lt;=0.4,"Improbable",IF(Y235&lt;=0.6,"Posible",IF(Y235&lt;=0.8,"Probable","Casi Seguro"))))),"")</f>
        <v>Rara vez</v>
      </c>
      <c r="AA235" s="171">
        <f t="shared" ref="AA235:AA237" si="351">+Y235</f>
        <v>8.3999999999999991E-2</v>
      </c>
      <c r="AB235" s="173" t="str">
        <f t="shared" ref="AB235:AB237" si="352">IFERROR(IF(AC235="","",IF(AC235&lt;=0.6,"Moderado",IF(AC235&lt;=0.8,"Mayor","Catastrófico"))),"")</f>
        <v>Catastrófico</v>
      </c>
      <c r="AC235" s="171">
        <f>IFERROR(IF(AND(R234="Impacto",R235="Impacto"),(AC234-(+AC234*U235)),IF(R235="Impacto",(N234-(+N234*U235)),IF(R235="Probabilidad",AC234,""))),"")</f>
        <v>1</v>
      </c>
      <c r="AD235" s="174" t="str">
        <f t="shared" si="336"/>
        <v>Extremo</v>
      </c>
      <c r="AE235" s="170"/>
      <c r="AF235" s="132"/>
      <c r="AG235" s="194"/>
      <c r="AH235" s="195"/>
      <c r="AI235" s="176"/>
      <c r="AJ235" s="181"/>
      <c r="AK235" s="522"/>
      <c r="AL235" s="535"/>
      <c r="AM235" s="535"/>
      <c r="AN235" s="535"/>
      <c r="AO235" s="535"/>
      <c r="AP235" s="535"/>
      <c r="AQ235" s="535"/>
      <c r="AR235" s="535"/>
      <c r="AS235" s="158"/>
      <c r="AT235" s="158"/>
      <c r="AU235" s="158"/>
      <c r="AV235" s="158"/>
      <c r="AW235" s="158"/>
      <c r="AX235" s="158"/>
      <c r="AY235" s="158"/>
      <c r="AZ235" s="158"/>
      <c r="BA235" s="158"/>
      <c r="BB235" s="158"/>
      <c r="BC235" s="158"/>
      <c r="BD235" s="158"/>
      <c r="BE235" s="158"/>
      <c r="BF235" s="158"/>
      <c r="BG235" s="158"/>
      <c r="BH235" s="158"/>
      <c r="BI235" s="158"/>
      <c r="BJ235" s="158"/>
    </row>
    <row r="236" spans="2:62" ht="76.5" x14ac:dyDescent="0.2">
      <c r="B236" s="314"/>
      <c r="C236" s="316"/>
      <c r="D236" s="317"/>
      <c r="E236" s="313"/>
      <c r="F236" s="313"/>
      <c r="G236" s="304"/>
      <c r="H236" s="305"/>
      <c r="I236" s="306"/>
      <c r="J236" s="307"/>
      <c r="K236" s="308"/>
      <c r="L236" s="307">
        <f>IF(NOT(ISERROR(MATCH(K236,_xlfn.ANCHORARRAY(G486),0))),J488&amp;"Por favor no seleccionar los criterios de impacto",K236)</f>
        <v>0</v>
      </c>
      <c r="M236" s="306"/>
      <c r="N236" s="307"/>
      <c r="O236" s="309"/>
      <c r="P236" s="168">
        <v>3</v>
      </c>
      <c r="Q236" s="146" t="s">
        <v>501</v>
      </c>
      <c r="R236" s="169" t="s">
        <v>118</v>
      </c>
      <c r="S236" s="170" t="s">
        <v>133</v>
      </c>
      <c r="T236" s="170" t="s">
        <v>113</v>
      </c>
      <c r="U236" s="171" t="str">
        <f t="shared" si="349"/>
        <v>30%</v>
      </c>
      <c r="V236" s="170" t="s">
        <v>119</v>
      </c>
      <c r="W236" s="170" t="s">
        <v>115</v>
      </c>
      <c r="X236" s="170" t="s">
        <v>134</v>
      </c>
      <c r="Y236" s="172">
        <f>IFERROR(IF(AND(R235="Probabilidad",R236="Probabilidad"),(AA235-(+AA235*U236)),IF(AND(R235="Impacto",R236="Probabilidad"),(AA234-(+AA234*U236)),IF(R236="Impacto",AA235,""))),"")</f>
        <v>5.8799999999999991E-2</v>
      </c>
      <c r="Z236" s="173" t="str">
        <f t="shared" si="350"/>
        <v>Rara vez</v>
      </c>
      <c r="AA236" s="171">
        <f t="shared" si="351"/>
        <v>5.8799999999999991E-2</v>
      </c>
      <c r="AB236" s="173" t="str">
        <f t="shared" si="352"/>
        <v>Catastrófico</v>
      </c>
      <c r="AC236" s="171">
        <f>IFERROR(IF(AND(R235="Impacto",R236="Impacto"),(AC235-(+AC235*U236)),IF(AND(R235="Probabilidad",R236="Impacto"),(AC234-(+AC234*U236)),IF(R236="Probabilidad",AC235,""))),"")</f>
        <v>1</v>
      </c>
      <c r="AD236" s="174" t="str">
        <f t="shared" si="336"/>
        <v>Extremo</v>
      </c>
      <c r="AE236" s="196"/>
      <c r="AF236" s="136"/>
      <c r="AG236" s="137"/>
      <c r="AH236" s="131"/>
      <c r="AI236" s="187"/>
      <c r="AJ236" s="188"/>
      <c r="AK236" s="523"/>
      <c r="AL236" s="535"/>
      <c r="AM236" s="535"/>
      <c r="AN236" s="535"/>
      <c r="AO236" s="535"/>
      <c r="AP236" s="535"/>
      <c r="AQ236" s="535"/>
      <c r="AR236" s="535"/>
      <c r="AS236" s="158"/>
      <c r="AT236" s="158"/>
      <c r="AU236" s="158"/>
      <c r="AV236" s="158"/>
      <c r="AW236" s="158"/>
      <c r="AX236" s="158"/>
      <c r="AY236" s="158"/>
      <c r="AZ236" s="158"/>
      <c r="BA236" s="158"/>
      <c r="BB236" s="158"/>
      <c r="BC236" s="158"/>
      <c r="BD236" s="158"/>
      <c r="BE236" s="158"/>
      <c r="BF236" s="158"/>
      <c r="BG236" s="158"/>
      <c r="BH236" s="158"/>
      <c r="BI236" s="158"/>
      <c r="BJ236" s="158"/>
    </row>
    <row r="237" spans="2:62" ht="76.5" x14ac:dyDescent="0.2">
      <c r="B237" s="314"/>
      <c r="C237" s="316"/>
      <c r="D237" s="317"/>
      <c r="E237" s="313"/>
      <c r="F237" s="313"/>
      <c r="G237" s="304"/>
      <c r="H237" s="305"/>
      <c r="I237" s="306"/>
      <c r="J237" s="307"/>
      <c r="K237" s="308"/>
      <c r="L237" s="307">
        <f>IF(NOT(ISERROR(MATCH(K237,_xlfn.ANCHORARRAY(G487),0))),J489&amp;"Por favor no seleccionar los criterios de impacto",K237)</f>
        <v>0</v>
      </c>
      <c r="M237" s="306"/>
      <c r="N237" s="307"/>
      <c r="O237" s="309"/>
      <c r="P237" s="168">
        <v>4</v>
      </c>
      <c r="Q237" s="146" t="s">
        <v>496</v>
      </c>
      <c r="R237" s="169" t="s">
        <v>136</v>
      </c>
      <c r="S237" s="182" t="s">
        <v>137</v>
      </c>
      <c r="T237" s="170" t="s">
        <v>113</v>
      </c>
      <c r="U237" s="171" t="str">
        <f t="shared" si="349"/>
        <v>25%</v>
      </c>
      <c r="V237" s="170" t="s">
        <v>114</v>
      </c>
      <c r="W237" s="170" t="s">
        <v>115</v>
      </c>
      <c r="X237" s="170" t="s">
        <v>134</v>
      </c>
      <c r="Y237" s="172">
        <f t="shared" ref="Y237" si="353">IFERROR(IF(AND(R236="Probabilidad",R237="Probabilidad"),(AA236-(+AA236*U237)),IF(AND(R236="Impacto",R237="Probabilidad"),(AA235-(+AA235*U237)),IF(R237="Impacto",AA236,""))),"")</f>
        <v>5.8799999999999991E-2</v>
      </c>
      <c r="Z237" s="173" t="str">
        <f t="shared" si="350"/>
        <v>Rara vez</v>
      </c>
      <c r="AA237" s="171">
        <f t="shared" si="351"/>
        <v>5.8799999999999991E-2</v>
      </c>
      <c r="AB237" s="173" t="str">
        <f t="shared" si="352"/>
        <v>Mayor</v>
      </c>
      <c r="AC237" s="171">
        <f t="shared" ref="AC237" si="354">IFERROR(IF(AND(R236="Impacto",R237="Impacto"),(AC236-(+AC236*U237)),IF(AND(R236="Probabilidad",R237="Impacto"),(AC235-(+AC235*U237)),IF(R237="Probabilidad",AC236,""))),"")</f>
        <v>0.75</v>
      </c>
      <c r="AD237" s="174" t="str">
        <f t="shared" ref="AD237" si="355">IFERROR(IF(OR(AND(Z237="Rara vez",AB237="Leve"),AND(Z237="Rara vez",AB237="Menor"),AND(Z237="Improbable",AB237="Leve")),"Bajo",IF(OR(AND(Z237="Rara vez",AB237="Moderado"),AND(Z237="Improbable",AB237="Menor"),AND(Z237="Improbable",AB237="Moderado"),AND(Z237="Posible",AB237="Leve"),AND(Z237="Posible",AB237="Menor"),AND(Z237="Posible",AB237="Moderado"),AND(Z237="Probable",AB237="Leve"),AND(Z237="Probable",AB237="Menor")),"Moderado",IF(OR(AND(Z237="Rara vez",AB237="Mayor"),AND(Z237="Improbable",AB237="Mayor"),AND(Z237="Posible",AB237="Mayor"),AND(Z237="Probable",AB237="Moderado"),AND(Z237="Probable",AB237="Mayor"),AND(Z237="Casi Seguro",AB237="Leve"),AND(Z237="Casi Seguro",AB237="Menor"),AND(Z237="Casi Seguro",AB237="Moderado"),AND(Z237="Casi Seguro",AB237="Mayor")),"Alto",IF(OR(AND(Z237="Rara vez",AB237="Catastrófico"),AND(Z237="Improbable",AB237="Catastrófico"),AND(Z237="Posible",AB237="Catastrófico"),AND(Z237="Probable",AB237="Catastrófico"),AND(Z237="Casi Seguro",AB237="Catastrófico")),"Extremo","")))),"")</f>
        <v>Alto</v>
      </c>
      <c r="AE237" s="170" t="s">
        <v>120</v>
      </c>
      <c r="AF237" s="136"/>
      <c r="AG237" s="203"/>
      <c r="AH237" s="202"/>
      <c r="AI237" s="136"/>
      <c r="AJ237" s="200"/>
      <c r="AK237" s="525"/>
      <c r="AL237" s="535"/>
      <c r="AM237" s="535"/>
      <c r="AN237" s="535"/>
      <c r="AO237" s="535"/>
      <c r="AP237" s="535"/>
      <c r="AQ237" s="535"/>
      <c r="AR237" s="535"/>
      <c r="AS237" s="158"/>
      <c r="AT237" s="158"/>
      <c r="AU237" s="158"/>
      <c r="AV237" s="158"/>
      <c r="AW237" s="158"/>
      <c r="AX237" s="158"/>
      <c r="AY237" s="158"/>
      <c r="AZ237" s="158"/>
      <c r="BA237" s="158"/>
      <c r="BB237" s="158"/>
      <c r="BC237" s="158"/>
      <c r="BD237" s="158"/>
      <c r="BE237" s="158"/>
      <c r="BF237" s="158"/>
      <c r="BG237" s="158"/>
      <c r="BH237" s="158"/>
      <c r="BI237" s="158"/>
      <c r="BJ237" s="158"/>
    </row>
    <row r="238" spans="2:62" s="163" customFormat="1" ht="89.25" x14ac:dyDescent="0.25">
      <c r="B238" s="310" t="s">
        <v>502</v>
      </c>
      <c r="C238" s="311" t="s">
        <v>314</v>
      </c>
      <c r="D238" s="312" t="s">
        <v>503</v>
      </c>
      <c r="E238" s="313" t="s">
        <v>127</v>
      </c>
      <c r="F238" s="313" t="s">
        <v>180</v>
      </c>
      <c r="G238" s="304" t="s">
        <v>337</v>
      </c>
      <c r="H238" s="305" t="s">
        <v>109</v>
      </c>
      <c r="I238" s="306" t="str">
        <f>IF(H238&lt;=0,"",IF(H238="No se ha presentado en los últimos 5 años","Rara vez",IF(H238="Al menos 1 vez en los últimos 5 años","Improbable",IF(H238="Al menos 1 vez en los últimos 2 años","Posible",IF(H238="Al menos 1 vez en el último año","Probable",IF(H238="Más de 1 vez al año","Casi Seguro"))))))</f>
        <v>Rara vez</v>
      </c>
      <c r="J238" s="307">
        <f>IF(I238="","",IF(I238="Rara vez",0.2,IF(I238="Improbable",0.4,IF(I238="Posible",0.6,IF(I238="Probable",0.8,IF(I238="Casi Seguro",1,))))))</f>
        <v>0.2</v>
      </c>
      <c r="K238" s="308" t="s">
        <v>131</v>
      </c>
      <c r="L238" s="307" t="str">
        <f>IF(NOT(ISERROR(MATCH(K238,'Tabla Impacto'!$B$220:$B$222,0))),'Tabla Impacto'!$F$222&amp;"Por favor no seleccionar los criterios de impacto(Criterios para calificar el impacto)",K238)</f>
        <v xml:space="preserve">Responder afirmativamente de DOCE a DIECINUEVE </v>
      </c>
      <c r="M238" s="306" t="str">
        <f>IF(OR(L238='Tabla Impacto'!$C$5),"Moderado",IF(OR(L238='Tabla Impacto'!$C$6),"Mayor",IF(OR(L238='Tabla Impacto'!$C$7),"Catastrófico","")))</f>
        <v>Catastrófico</v>
      </c>
      <c r="N238" s="307">
        <f>IF(M238="","",IF(M238="Leve",0.2,IF(M238="Menor",0.4,IF(M238="Moderado",0.6,IF(M238="Mayor",0.8,IF(M238="Catastrófico",1,))))))</f>
        <v>1</v>
      </c>
      <c r="O238" s="309" t="str">
        <f>IF(OR(AND(I238="Rara vez",M238="Leve"),AND(I238="Rara vez",M238="Menor"),AND(I238="Improbable",M238="Leve")),"Bajo",IF(OR(AND(I238="Rara vez",M238="Moderado"),AND(I238="Improbable",M238="Menor"),AND(I238="Improbable",M238="Moderado"),AND(I238="Posible",M238="Leve"),AND(I238="Posible",M238="Menor"),AND(I238="Posible",M238="Moderado"),AND(I238="Probable",M238="Leve"),AND(I238="Probable",M238="Menor")),"Moderado",IF(OR(AND(I238="Rara vez",M238="Mayor"),AND(I238="Improbable",M238="Mayor"),AND(I238="Posible",M238="Mayor"),AND(I238="Probable",M238="Moderado"),AND(I238="Probable",M238="Mayor"),AND(I238="Casi Seguro",M238="Leve"),AND(I238="Casi Seguro",M238="Menor"),AND(I238="Casi Seguro",M238="Moderado"),AND(I238="Casi Seguro",M238="Mayor")),"Alto",IF(OR(AND(I238="Rara vez",M238="Catastrófico"),AND(I238="Improbable",M238="Catastrófico"),AND(I238="Posible",M238="Catastrófico"),AND(I238="Probable",M238="Catastrófico"),AND(I238="Casi Seguro",M238="Catastrófico")),"Extremo",""))))</f>
        <v>Extremo</v>
      </c>
      <c r="P238" s="168">
        <v>1</v>
      </c>
      <c r="Q238" s="146" t="s">
        <v>504</v>
      </c>
      <c r="R238" s="169" t="str">
        <f>IF(OR(S238="Preventivo",S238="Detectivo"),"Probabilidad",IF(S238="Correctivo","Impacto",""))</f>
        <v>Probabilidad</v>
      </c>
      <c r="S238" s="170" t="s">
        <v>112</v>
      </c>
      <c r="T238" s="170" t="s">
        <v>113</v>
      </c>
      <c r="U238" s="171" t="str">
        <f>IF(AND(S238="Preventivo",T238="Automático"),"50%",IF(AND(S238="Preventivo",T238="Manual"),"40%",IF(AND(S238="Detectivo",T238="Automático"),"40%",IF(AND(S238="Detectivo",T238="Manual"),"30%",IF(AND(S238="Correctivo",T238="Automático"),"35%",IF(AND(S238="Correctivo",T238="Manual"),"25%",""))))))</f>
        <v>40%</v>
      </c>
      <c r="V238" s="170" t="s">
        <v>114</v>
      </c>
      <c r="W238" s="170" t="s">
        <v>115</v>
      </c>
      <c r="X238" s="170" t="s">
        <v>134</v>
      </c>
      <c r="Y238" s="172">
        <f>IFERROR(IF(R238="Probabilidad",(J238-(+J238*U238)),IF(R238="Impacto",J238,"")),"")</f>
        <v>0.12</v>
      </c>
      <c r="Z238" s="173" t="str">
        <f>IFERROR(IF(Y238="","",IF(Y238&lt;=0.2,"Rara vez",IF(Y238&lt;=0.4,"Improbable",IF(Y238&lt;=0.6,"Posible",IF(Y238&lt;=0.8,"Probable","Casi Seguro"))))),"")</f>
        <v>Rara vez</v>
      </c>
      <c r="AA238" s="171">
        <f>+Y238</f>
        <v>0.12</v>
      </c>
      <c r="AB238" s="173" t="str">
        <f>IFERROR(IF(AC238="","",IF(AC238&lt;=0.6,"Moderado",IF(AC238&lt;=0.8,"Mayor","Catastrófico"))),"")</f>
        <v>Catastrófico</v>
      </c>
      <c r="AC238" s="171">
        <f>IFERROR(IF(R238="Impacto",(N238-(+N238*U238)),IF(R238="Probabilidad",N238,"")),"")</f>
        <v>1</v>
      </c>
      <c r="AD238" s="174" t="str">
        <f t="shared" ref="AD238:AD245" si="356">IFERROR(IF(OR(AND(Z238="Rara vez",AB238="Leve"),AND(Z238="Rara vez",AB238="Menor"),AND(Z238="Improbable",AB238="Leve")),"Bajo",IF(OR(AND(Z238="Rara vez",AB238="Moderado"),AND(Z238="Improbable",AB238="Menor"),AND(Z238="Improbable",AB238="Moderado"),AND(Z238="Posible",AB238="Leve"),AND(Z238="Posible",AB238="Menor"),AND(Z238="Posible",AB238="Moderado"),AND(Z238="Probable",AB238="Leve"),AND(Z238="Probable",AB238="Menor")),"Moderado",IF(OR(AND(Z238="Rara vez",AB238="Mayor"),AND(Z238="Improbable",AB238="Mayor"),AND(Z238="Posible",AB238="Mayor"),AND(Z238="Probable",AB238="Moderado"),AND(Z238="Probable",AB238="Mayor"),AND(Z238="Casi Seguro",AB238="Leve"),AND(Z238="Casi Seguro",AB238="Menor"),AND(Z238="Casi Seguro",AB238="Moderado"),AND(Z238="Casi Seguro",AB238="Mayor")),"Alto",IF(OR(AND(Z238="Rara vez",AB238="Catastrófico"),AND(Z238="Improbable",AB238="Catastrófico"),AND(Z238="Posible",AB238="Catastrófico"),AND(Z238="Probable",AB238="Catastrófico"),AND(Z238="Casi Seguro",AB238="Catastrófico")),"Extremo","")))),"")</f>
        <v>Extremo</v>
      </c>
      <c r="AE238" s="170"/>
      <c r="AF238" s="123"/>
      <c r="AG238" s="123"/>
      <c r="AH238" s="175"/>
      <c r="AI238" s="176"/>
      <c r="AJ238" s="177"/>
      <c r="AK238" s="522"/>
      <c r="AL238" s="534"/>
      <c r="AM238" s="534"/>
      <c r="AN238" s="534"/>
      <c r="AO238" s="534"/>
      <c r="AP238" s="534"/>
      <c r="AQ238" s="534"/>
      <c r="AR238" s="534"/>
      <c r="AS238" s="178"/>
      <c r="AT238" s="178"/>
      <c r="AU238" s="178"/>
      <c r="AV238" s="178"/>
      <c r="AW238" s="178"/>
      <c r="AX238" s="178"/>
      <c r="AY238" s="178"/>
      <c r="AZ238" s="178"/>
      <c r="BA238" s="178"/>
      <c r="BB238" s="178"/>
      <c r="BC238" s="178"/>
      <c r="BD238" s="178"/>
      <c r="BE238" s="178"/>
      <c r="BF238" s="178"/>
      <c r="BG238" s="178"/>
      <c r="BH238" s="178"/>
      <c r="BI238" s="178"/>
      <c r="BJ238" s="178"/>
    </row>
    <row r="239" spans="2:62" ht="114.75" x14ac:dyDescent="0.2">
      <c r="B239" s="310"/>
      <c r="C239" s="311"/>
      <c r="D239" s="312"/>
      <c r="E239" s="313"/>
      <c r="F239" s="313"/>
      <c r="G239" s="304"/>
      <c r="H239" s="305"/>
      <c r="I239" s="306"/>
      <c r="J239" s="307"/>
      <c r="K239" s="308"/>
      <c r="L239" s="307">
        <f>IF(NOT(ISERROR(MATCH(K239,_xlfn.ANCHORARRAY(G489),0))),J491&amp;"Por favor no seleccionar los criterios de impacto",K239)</f>
        <v>0</v>
      </c>
      <c r="M239" s="306"/>
      <c r="N239" s="307"/>
      <c r="O239" s="309"/>
      <c r="P239" s="168">
        <v>2</v>
      </c>
      <c r="Q239" s="146" t="s">
        <v>505</v>
      </c>
      <c r="R239" s="169" t="str">
        <f>IF(OR(S239="Preventivo",S239="Detectivo"),"Probabilidad",IF(S239="Correctivo","Impacto",""))</f>
        <v>Probabilidad</v>
      </c>
      <c r="S239" s="170" t="s">
        <v>133</v>
      </c>
      <c r="T239" s="170" t="s">
        <v>113</v>
      </c>
      <c r="U239" s="171" t="str">
        <f t="shared" ref="U239:U240" si="357">IF(AND(S239="Preventivo",T239="Automático"),"50%",IF(AND(S239="Preventivo",T239="Manual"),"40%",IF(AND(S239="Detectivo",T239="Automático"),"40%",IF(AND(S239="Detectivo",T239="Manual"),"30%",IF(AND(S239="Correctivo",T239="Automático"),"35%",IF(AND(S239="Correctivo",T239="Manual"),"25%",""))))))</f>
        <v>30%</v>
      </c>
      <c r="V239" s="170" t="s">
        <v>119</v>
      </c>
      <c r="W239" s="170" t="s">
        <v>115</v>
      </c>
      <c r="X239" s="170" t="s">
        <v>134</v>
      </c>
      <c r="Y239" s="172">
        <f>IFERROR(IF(AND(R238="Probabilidad",R239="Probabilidad"),(AA238-(+AA238*U239)),IF(R239="Probabilidad",(J238-(+J238*U239)),IF(R239="Impacto",AA238,""))),"")</f>
        <v>8.3999999999999991E-2</v>
      </c>
      <c r="Z239" s="173" t="str">
        <f t="shared" ref="Z239:Z240" si="358">IFERROR(IF(Y239="","",IF(Y239&lt;=0.2,"Rara vez",IF(Y239&lt;=0.4,"Improbable",IF(Y239&lt;=0.6,"Posible",IF(Y239&lt;=0.8,"Probable","Casi Seguro"))))),"")</f>
        <v>Rara vez</v>
      </c>
      <c r="AA239" s="171">
        <f t="shared" ref="AA239:AA240" si="359">+Y239</f>
        <v>8.3999999999999991E-2</v>
      </c>
      <c r="AB239" s="173" t="str">
        <f t="shared" ref="AB239:AB240" si="360">IFERROR(IF(AC239="","",IF(AC239&lt;=0.6,"Moderado",IF(AC239&lt;=0.8,"Mayor","Catastrófico"))),"")</f>
        <v>Catastrófico</v>
      </c>
      <c r="AC239" s="171">
        <f>IFERROR(IF(AND(R238="Impacto",R239="Impacto"),(AC238-(+AC238*U239)),IF(R239="Impacto",(N238-(+N238*U239)),IF(R239="Probabilidad",AC238,""))),"")</f>
        <v>1</v>
      </c>
      <c r="AD239" s="174" t="str">
        <f t="shared" si="356"/>
        <v>Extremo</v>
      </c>
      <c r="AE239" s="170"/>
      <c r="AF239" s="132"/>
      <c r="AG239" s="194"/>
      <c r="AH239" s="195"/>
      <c r="AI239" s="176"/>
      <c r="AJ239" s="181"/>
      <c r="AK239" s="522"/>
      <c r="AL239" s="535"/>
      <c r="AM239" s="535"/>
      <c r="AN239" s="535"/>
      <c r="AO239" s="535"/>
      <c r="AP239" s="535"/>
      <c r="AQ239" s="535"/>
      <c r="AR239" s="535"/>
      <c r="AS239" s="158"/>
      <c r="AT239" s="158"/>
      <c r="AU239" s="158"/>
      <c r="AV239" s="158"/>
      <c r="AW239" s="158"/>
      <c r="AX239" s="158"/>
      <c r="AY239" s="158"/>
      <c r="AZ239" s="158"/>
      <c r="BA239" s="158"/>
      <c r="BB239" s="158"/>
      <c r="BC239" s="158"/>
      <c r="BD239" s="158"/>
      <c r="BE239" s="158"/>
      <c r="BF239" s="158"/>
      <c r="BG239" s="158"/>
      <c r="BH239" s="158"/>
      <c r="BI239" s="158"/>
      <c r="BJ239" s="158"/>
    </row>
    <row r="240" spans="2:62" ht="75" x14ac:dyDescent="0.2">
      <c r="B240" s="310"/>
      <c r="C240" s="311"/>
      <c r="D240" s="312"/>
      <c r="E240" s="313"/>
      <c r="F240" s="313"/>
      <c r="G240" s="304"/>
      <c r="H240" s="305"/>
      <c r="I240" s="306"/>
      <c r="J240" s="307"/>
      <c r="K240" s="308"/>
      <c r="L240" s="307">
        <f>IF(NOT(ISERROR(MATCH(K240,_xlfn.ANCHORARRAY(G490),0))),J492&amp;"Por favor no seleccionar los criterios de impacto",K240)</f>
        <v>0</v>
      </c>
      <c r="M240" s="306"/>
      <c r="N240" s="307"/>
      <c r="O240" s="309"/>
      <c r="P240" s="168">
        <v>3</v>
      </c>
      <c r="Q240" s="146" t="s">
        <v>506</v>
      </c>
      <c r="R240" s="169" t="s">
        <v>136</v>
      </c>
      <c r="S240" s="182" t="s">
        <v>137</v>
      </c>
      <c r="T240" s="170" t="s">
        <v>113</v>
      </c>
      <c r="U240" s="171" t="str">
        <f t="shared" si="357"/>
        <v>25%</v>
      </c>
      <c r="V240" s="170" t="s">
        <v>114</v>
      </c>
      <c r="W240" s="170" t="s">
        <v>115</v>
      </c>
      <c r="X240" s="170" t="s">
        <v>134</v>
      </c>
      <c r="Y240" s="172">
        <f>IFERROR(IF(AND(R239="Probabilidad",R240="Probabilidad"),(AA239-(+AA239*U240)),IF(AND(R239="Impacto",R240="Probabilidad"),(AA238-(+AA238*U240)),IF(R240="Impacto",AA239,""))),"")</f>
        <v>8.3999999999999991E-2</v>
      </c>
      <c r="Z240" s="173" t="str">
        <f t="shared" si="358"/>
        <v>Rara vez</v>
      </c>
      <c r="AA240" s="171">
        <f t="shared" si="359"/>
        <v>8.3999999999999991E-2</v>
      </c>
      <c r="AB240" s="173" t="str">
        <f t="shared" si="360"/>
        <v>Mayor</v>
      </c>
      <c r="AC240" s="171">
        <f>IFERROR(IF(AND(R239="Impacto",R240="Impacto"),(AC239-(+AC239*U240)),IF(AND(R239="Probabilidad",R240="Impacto"),(AC238-(+AC238*U240)),IF(R240="Probabilidad",AC239,""))),"")</f>
        <v>0.75</v>
      </c>
      <c r="AD240" s="174" t="str">
        <f t="shared" si="356"/>
        <v>Alto</v>
      </c>
      <c r="AE240" s="196"/>
      <c r="AF240" s="136"/>
      <c r="AG240" s="137"/>
      <c r="AH240" s="131"/>
      <c r="AI240" s="187"/>
      <c r="AJ240" s="188"/>
      <c r="AK240" s="523"/>
      <c r="AL240" s="535"/>
      <c r="AM240" s="535"/>
      <c r="AN240" s="535"/>
      <c r="AO240" s="535"/>
      <c r="AP240" s="535"/>
      <c r="AQ240" s="535"/>
      <c r="AR240" s="535"/>
      <c r="AS240" s="158"/>
      <c r="AT240" s="158"/>
      <c r="AU240" s="158"/>
      <c r="AV240" s="158"/>
      <c r="AW240" s="158"/>
      <c r="AX240" s="158"/>
      <c r="AY240" s="158"/>
      <c r="AZ240" s="158"/>
      <c r="BA240" s="158"/>
      <c r="BB240" s="158"/>
      <c r="BC240" s="158"/>
      <c r="BD240" s="158"/>
      <c r="BE240" s="158"/>
      <c r="BF240" s="158"/>
      <c r="BG240" s="158"/>
      <c r="BH240" s="158"/>
      <c r="BI240" s="158"/>
      <c r="BJ240" s="158"/>
    </row>
    <row r="241" spans="2:62" s="163" customFormat="1" ht="76.5" x14ac:dyDescent="0.25">
      <c r="B241" s="310" t="s">
        <v>507</v>
      </c>
      <c r="C241" s="311" t="s">
        <v>359</v>
      </c>
      <c r="D241" s="312" t="s">
        <v>491</v>
      </c>
      <c r="E241" s="313" t="s">
        <v>127</v>
      </c>
      <c r="F241" s="313" t="s">
        <v>508</v>
      </c>
      <c r="G241" s="304" t="s">
        <v>493</v>
      </c>
      <c r="H241" s="305" t="s">
        <v>109</v>
      </c>
      <c r="I241" s="306" t="str">
        <f>IF(H241&lt;=0,"",IF(H241="No se ha presentado en los últimos 5 años","Rara vez",IF(H241="Al menos 1 vez en los últimos 5 años","Improbable",IF(H241="Al menos 1 vez en los últimos 2 años","Posible",IF(H241="Al menos 1 vez en el último año","Probable",IF(H241="Más de 1 vez al año","Casi Seguro"))))))</f>
        <v>Rara vez</v>
      </c>
      <c r="J241" s="307">
        <f>IF(I241="","",IF(I241="Rara vez",0.2,IF(I241="Improbable",0.4,IF(I241="Posible",0.6,IF(I241="Probable",0.8,IF(I241="Casi Seguro",1,))))))</f>
        <v>0.2</v>
      </c>
      <c r="K241" s="308" t="s">
        <v>131</v>
      </c>
      <c r="L241" s="307" t="str">
        <f>IF(NOT(ISERROR(MATCH(K241,'Tabla Impacto'!$B$220:$B$222,0))),'Tabla Impacto'!$F$222&amp;"Por favor no seleccionar los criterios de impacto(Criterios para calificar el impacto)",K241)</f>
        <v xml:space="preserve">Responder afirmativamente de DOCE a DIECINUEVE </v>
      </c>
      <c r="M241" s="306" t="str">
        <f>IF(OR(L241='Tabla Impacto'!$C$5),"Moderado",IF(OR(L241='Tabla Impacto'!$C$6),"Mayor",IF(OR(L241='Tabla Impacto'!$C$7),"Catastrófico","")))</f>
        <v>Catastrófico</v>
      </c>
      <c r="N241" s="307">
        <f>IF(M241="","",IF(M241="Leve",0.2,IF(M241="Menor",0.4,IF(M241="Moderado",0.6,IF(M241="Mayor",0.8,IF(M241="Catastrófico",1,))))))</f>
        <v>1</v>
      </c>
      <c r="O241" s="309" t="str">
        <f>IF(OR(AND(I241="Rara vez",M241="Leve"),AND(I241="Rara vez",M241="Menor"),AND(I241="Improbable",M241="Leve")),"Bajo",IF(OR(AND(I241="Rara vez",M241="Moderado"),AND(I241="Improbable",M241="Menor"),AND(I241="Improbable",M241="Moderado"),AND(I241="Posible",M241="Leve"),AND(I241="Posible",M241="Menor"),AND(I241="Posible",M241="Moderado"),AND(I241="Probable",M241="Leve"),AND(I241="Probable",M241="Menor")),"Moderado",IF(OR(AND(I241="Rara vez",M241="Mayor"),AND(I241="Improbable",M241="Mayor"),AND(I241="Posible",M241="Mayor"),AND(I241="Probable",M241="Moderado"),AND(I241="Probable",M241="Mayor"),AND(I241="Casi Seguro",M241="Leve"),AND(I241="Casi Seguro",M241="Menor"),AND(I241="Casi Seguro",M241="Moderado"),AND(I241="Casi Seguro",M241="Mayor")),"Alto",IF(OR(AND(I241="Rara vez",M241="Catastrófico"),AND(I241="Improbable",M241="Catastrófico"),AND(I241="Posible",M241="Catastrófico"),AND(I241="Probable",M241="Catastrófico"),AND(I241="Casi Seguro",M241="Catastrófico")),"Extremo",""))))</f>
        <v>Extremo</v>
      </c>
      <c r="P241" s="168">
        <v>1</v>
      </c>
      <c r="Q241" s="146" t="s">
        <v>509</v>
      </c>
      <c r="R241" s="169" t="str">
        <f>IF(OR(S241="Preventivo",S241="Detectivo"),"Probabilidad",IF(S241="Correctivo","Impacto",""))</f>
        <v>Probabilidad</v>
      </c>
      <c r="S241" s="170" t="s">
        <v>112</v>
      </c>
      <c r="T241" s="170" t="s">
        <v>113</v>
      </c>
      <c r="U241" s="171" t="str">
        <f>IF(AND(S241="Preventivo",T241="Automático"),"50%",IF(AND(S241="Preventivo",T241="Manual"),"40%",IF(AND(S241="Detectivo",T241="Automático"),"40%",IF(AND(S241="Detectivo",T241="Manual"),"30%",IF(AND(S241="Correctivo",T241="Automático"),"35%",IF(AND(S241="Correctivo",T241="Manual"),"25%",""))))))</f>
        <v>40%</v>
      </c>
      <c r="V241" s="170" t="s">
        <v>114</v>
      </c>
      <c r="W241" s="170" t="s">
        <v>115</v>
      </c>
      <c r="X241" s="170" t="s">
        <v>134</v>
      </c>
      <c r="Y241" s="172">
        <f>IFERROR(IF(R241="Probabilidad",(J241-(+J241*U241)),IF(R241="Impacto",J241,"")),"")</f>
        <v>0.12</v>
      </c>
      <c r="Z241" s="173" t="str">
        <f>IFERROR(IF(Y241="","",IF(Y241&lt;=0.2,"Rara vez",IF(Y241&lt;=0.4,"Improbable",IF(Y241&lt;=0.6,"Posible",IF(Y241&lt;=0.8,"Probable","Casi Seguro"))))),"")</f>
        <v>Rara vez</v>
      </c>
      <c r="AA241" s="171">
        <f>+Y241</f>
        <v>0.12</v>
      </c>
      <c r="AB241" s="173" t="str">
        <f>IFERROR(IF(AC241="","",IF(AC241&lt;=0.6,"Moderado",IF(AC241&lt;=0.8,"Mayor","Catastrófico"))),"")</f>
        <v>Catastrófico</v>
      </c>
      <c r="AC241" s="171">
        <f>IFERROR(IF(R241="Impacto",(N241-(+N241*U241)),IF(R241="Probabilidad",N241,"")),"")</f>
        <v>1</v>
      </c>
      <c r="AD241" s="174" t="str">
        <f t="shared" si="356"/>
        <v>Extremo</v>
      </c>
      <c r="AE241" s="170"/>
      <c r="AF241" s="123"/>
      <c r="AG241" s="123"/>
      <c r="AH241" s="175"/>
      <c r="AI241" s="176"/>
      <c r="AJ241" s="177"/>
      <c r="AK241" s="522"/>
      <c r="AL241" s="534"/>
      <c r="AM241" s="534"/>
      <c r="AN241" s="534"/>
      <c r="AO241" s="534"/>
      <c r="AP241" s="534"/>
      <c r="AQ241" s="534"/>
      <c r="AR241" s="534"/>
      <c r="AS241" s="178"/>
      <c r="AT241" s="178"/>
      <c r="AU241" s="178"/>
      <c r="AV241" s="178"/>
      <c r="AW241" s="178"/>
      <c r="AX241" s="178"/>
      <c r="AY241" s="178"/>
      <c r="AZ241" s="178"/>
      <c r="BA241" s="178"/>
      <c r="BB241" s="178"/>
      <c r="BC241" s="178"/>
      <c r="BD241" s="178"/>
      <c r="BE241" s="178"/>
      <c r="BF241" s="178"/>
      <c r="BG241" s="178"/>
      <c r="BH241" s="178"/>
      <c r="BI241" s="178"/>
      <c r="BJ241" s="178"/>
    </row>
    <row r="242" spans="2:62" ht="75" x14ac:dyDescent="0.2">
      <c r="B242" s="310"/>
      <c r="C242" s="311"/>
      <c r="D242" s="312"/>
      <c r="E242" s="313"/>
      <c r="F242" s="313"/>
      <c r="G242" s="304"/>
      <c r="H242" s="305"/>
      <c r="I242" s="306"/>
      <c r="J242" s="307"/>
      <c r="K242" s="308"/>
      <c r="L242" s="307">
        <f>IF(NOT(ISERROR(MATCH(K242,_xlfn.ANCHORARRAY(G492),0))),J494&amp;"Por favor no seleccionar los criterios de impacto",K242)</f>
        <v>0</v>
      </c>
      <c r="M242" s="306"/>
      <c r="N242" s="307"/>
      <c r="O242" s="309"/>
      <c r="P242" s="168">
        <v>2</v>
      </c>
      <c r="Q242" s="146" t="s">
        <v>510</v>
      </c>
      <c r="R242" s="169" t="str">
        <f>IF(OR(S242="Preventivo",S242="Detectivo"),"Probabilidad",IF(S242="Correctivo","Impacto",""))</f>
        <v>Probabilidad</v>
      </c>
      <c r="S242" s="170" t="s">
        <v>133</v>
      </c>
      <c r="T242" s="170" t="s">
        <v>113</v>
      </c>
      <c r="U242" s="171" t="str">
        <f t="shared" ref="U242" si="361">IF(AND(S242="Preventivo",T242="Automático"),"50%",IF(AND(S242="Preventivo",T242="Manual"),"40%",IF(AND(S242="Detectivo",T242="Automático"),"40%",IF(AND(S242="Detectivo",T242="Manual"),"30%",IF(AND(S242="Correctivo",T242="Automático"),"35%",IF(AND(S242="Correctivo",T242="Manual"),"25%",""))))))</f>
        <v>30%</v>
      </c>
      <c r="V242" s="170" t="s">
        <v>114</v>
      </c>
      <c r="W242" s="170" t="s">
        <v>115</v>
      </c>
      <c r="X242" s="170" t="s">
        <v>134</v>
      </c>
      <c r="Y242" s="172">
        <f>IFERROR(IF(AND(R241="Probabilidad",R242="Probabilidad"),(AA241-(+AA241*U242)),IF(R242="Probabilidad",(J241-(+J241*U242)),IF(R242="Impacto",AA241,""))),"")</f>
        <v>8.3999999999999991E-2</v>
      </c>
      <c r="Z242" s="173" t="str">
        <f t="shared" ref="Z242" si="362">IFERROR(IF(Y242="","",IF(Y242&lt;=0.2,"Rara vez",IF(Y242&lt;=0.4,"Improbable",IF(Y242&lt;=0.6,"Posible",IF(Y242&lt;=0.8,"Probable","Casi Seguro"))))),"")</f>
        <v>Rara vez</v>
      </c>
      <c r="AA242" s="171">
        <f t="shared" ref="AA242" si="363">+Y242</f>
        <v>8.3999999999999991E-2</v>
      </c>
      <c r="AB242" s="173" t="str">
        <f t="shared" ref="AB242" si="364">IFERROR(IF(AC242="","",IF(AC242&lt;=0.6,"Moderado",IF(AC242&lt;=0.8,"Mayor","Catastrófico"))),"")</f>
        <v>Catastrófico</v>
      </c>
      <c r="AC242" s="171">
        <f>IFERROR(IF(AND(R241="Impacto",R242="Impacto"),(AC241-(+AC241*U242)),IF(R242="Impacto",(N241-(+N241*U242)),IF(R242="Probabilidad",AC241,""))),"")</f>
        <v>1</v>
      </c>
      <c r="AD242" s="174" t="str">
        <f t="shared" si="356"/>
        <v>Extremo</v>
      </c>
      <c r="AE242" s="170"/>
      <c r="AF242" s="132"/>
      <c r="AG242" s="194"/>
      <c r="AH242" s="195"/>
      <c r="AI242" s="176"/>
      <c r="AJ242" s="181"/>
      <c r="AK242" s="522"/>
      <c r="AL242" s="535"/>
      <c r="AM242" s="535"/>
      <c r="AN242" s="535"/>
      <c r="AO242" s="535"/>
      <c r="AP242" s="535"/>
      <c r="AQ242" s="535"/>
      <c r="AR242" s="535"/>
      <c r="AS242" s="158"/>
      <c r="AT242" s="158"/>
      <c r="AU242" s="158"/>
      <c r="AV242" s="158"/>
      <c r="AW242" s="158"/>
      <c r="AX242" s="158"/>
      <c r="AY242" s="158"/>
      <c r="AZ242" s="158"/>
      <c r="BA242" s="158"/>
      <c r="BB242" s="158"/>
      <c r="BC242" s="158"/>
      <c r="BD242" s="158"/>
      <c r="BE242" s="158"/>
      <c r="BF242" s="158"/>
      <c r="BG242" s="158"/>
      <c r="BH242" s="158"/>
      <c r="BI242" s="158"/>
      <c r="BJ242" s="158"/>
    </row>
    <row r="243" spans="2:62" s="163" customFormat="1" ht="129" customHeight="1" x14ac:dyDescent="0.25">
      <c r="B243" s="310" t="s">
        <v>511</v>
      </c>
      <c r="C243" s="311" t="s">
        <v>359</v>
      </c>
      <c r="D243" s="312" t="s">
        <v>474</v>
      </c>
      <c r="E243" s="313" t="s">
        <v>127</v>
      </c>
      <c r="F243" s="313" t="s">
        <v>512</v>
      </c>
      <c r="G243" s="304" t="s">
        <v>513</v>
      </c>
      <c r="H243" s="305" t="s">
        <v>109</v>
      </c>
      <c r="I243" s="306" t="str">
        <f>IF(H243&lt;=0,"",IF(H243="No se ha presentado en los últimos 5 años","Rara vez",IF(H243="Al menos 1 vez en los últimos 5 años","Improbable",IF(H243="Al menos 1 vez en los últimos 2 años","Posible",IF(H243="Al menos 1 vez en el último año","Probable",IF(H243="Más de 1 vez al año","Casi Seguro"))))))</f>
        <v>Rara vez</v>
      </c>
      <c r="J243" s="307">
        <f>IF(I243="","",IF(I243="Rara vez",0.2,IF(I243="Improbable",0.4,IF(I243="Posible",0.6,IF(I243="Probable",0.8,IF(I243="Casi Seguro",1,))))))</f>
        <v>0.2</v>
      </c>
      <c r="K243" s="308" t="s">
        <v>131</v>
      </c>
      <c r="L243" s="307" t="str">
        <f>IF(NOT(ISERROR(MATCH(K243,'Tabla Impacto'!$B$220:$B$222,0))),'Tabla Impacto'!$F$222&amp;"Por favor no seleccionar los criterios de impacto(Criterios para calificar el impacto)",K243)</f>
        <v xml:space="preserve">Responder afirmativamente de DOCE a DIECINUEVE </v>
      </c>
      <c r="M243" s="306" t="str">
        <f>IF(OR(L243='Tabla Impacto'!$C$5),"Moderado",IF(OR(L243='Tabla Impacto'!$C$6),"Mayor",IF(OR(L243='Tabla Impacto'!$C$7),"Catastrófico","")))</f>
        <v>Catastrófico</v>
      </c>
      <c r="N243" s="307">
        <f>IF(M243="","",IF(M243="Leve",0.2,IF(M243="Menor",0.4,IF(M243="Moderado",0.6,IF(M243="Mayor",0.8,IF(M243="Catastrófico",1,))))))</f>
        <v>1</v>
      </c>
      <c r="O243" s="309" t="str">
        <f>IF(OR(AND(I243="Rara vez",M243="Leve"),AND(I243="Rara vez",M243="Menor"),AND(I243="Improbable",M243="Leve")),"Bajo",IF(OR(AND(I243="Rara vez",M243="Moderado"),AND(I243="Improbable",M243="Menor"),AND(I243="Improbable",M243="Moderado"),AND(I243="Posible",M243="Leve"),AND(I243="Posible",M243="Menor"),AND(I243="Posible",M243="Moderado"),AND(I243="Probable",M243="Leve"),AND(I243="Probable",M243="Menor")),"Moderado",IF(OR(AND(I243="Rara vez",M243="Mayor"),AND(I243="Improbable",M243="Mayor"),AND(I243="Posible",M243="Mayor"),AND(I243="Probable",M243="Moderado"),AND(I243="Probable",M243="Mayor"),AND(I243="Casi Seguro",M243="Leve"),AND(I243="Casi Seguro",M243="Menor"),AND(I243="Casi Seguro",M243="Moderado"),AND(I243="Casi Seguro",M243="Mayor")),"Alto",IF(OR(AND(I243="Rara vez",M243="Catastrófico"),AND(I243="Improbable",M243="Catastrófico"),AND(I243="Posible",M243="Catastrófico"),AND(I243="Probable",M243="Catastrófico"),AND(I243="Casi Seguro",M243="Catastrófico")),"Extremo",""))))</f>
        <v>Extremo</v>
      </c>
      <c r="P243" s="168">
        <v>1</v>
      </c>
      <c r="Q243" s="146" t="s">
        <v>514</v>
      </c>
      <c r="R243" s="169" t="str">
        <f>IF(OR(S243="Preventivo",S243="Detectivo"),"Probabilidad",IF(S243="Correctivo","Impacto",""))</f>
        <v>Probabilidad</v>
      </c>
      <c r="S243" s="170" t="s">
        <v>112</v>
      </c>
      <c r="T243" s="170" t="s">
        <v>113</v>
      </c>
      <c r="U243" s="171" t="str">
        <f>IF(AND(S243="Preventivo",T243="Automático"),"50%",IF(AND(S243="Preventivo",T243="Manual"),"40%",IF(AND(S243="Detectivo",T243="Automático"),"40%",IF(AND(S243="Detectivo",T243="Manual"),"30%",IF(AND(S243="Correctivo",T243="Automático"),"35%",IF(AND(S243="Correctivo",T243="Manual"),"25%",""))))))</f>
        <v>40%</v>
      </c>
      <c r="V243" s="170" t="s">
        <v>119</v>
      </c>
      <c r="W243" s="170" t="s">
        <v>115</v>
      </c>
      <c r="X243" s="170" t="s">
        <v>134</v>
      </c>
      <c r="Y243" s="172">
        <f>IFERROR(IF(R243="Probabilidad",(J243-(+J243*U243)),IF(R243="Impacto",J243,"")),"")</f>
        <v>0.12</v>
      </c>
      <c r="Z243" s="173" t="str">
        <f>IFERROR(IF(Y243="","",IF(Y243&lt;=0.2,"Rara vez",IF(Y243&lt;=0.4,"Improbable",IF(Y243&lt;=0.6,"Posible",IF(Y243&lt;=0.8,"Probable","Casi Seguro"))))),"")</f>
        <v>Rara vez</v>
      </c>
      <c r="AA243" s="171">
        <f>+Y243</f>
        <v>0.12</v>
      </c>
      <c r="AB243" s="173" t="str">
        <f>IFERROR(IF(AC243="","",IF(AC243&lt;=0.6,"Moderado",IF(AC243&lt;=0.8,"Mayor","Catastrófico"))),"")</f>
        <v>Catastrófico</v>
      </c>
      <c r="AC243" s="171">
        <f>IFERROR(IF(R243="Impacto",(N243-(+N243*U243)),IF(R243="Probabilidad",N243,"")),"")</f>
        <v>1</v>
      </c>
      <c r="AD243" s="174" t="str">
        <f t="shared" si="356"/>
        <v>Extremo</v>
      </c>
      <c r="AE243" s="170"/>
      <c r="AF243" s="123"/>
      <c r="AG243" s="123"/>
      <c r="AH243" s="175"/>
      <c r="AI243" s="176"/>
      <c r="AJ243" s="177"/>
      <c r="AK243" s="522"/>
      <c r="AL243" s="534"/>
      <c r="AM243" s="534"/>
      <c r="AN243" s="534"/>
      <c r="AO243" s="534"/>
      <c r="AP243" s="534"/>
      <c r="AQ243" s="534"/>
      <c r="AR243" s="534"/>
      <c r="AS243" s="178"/>
      <c r="AT243" s="178"/>
      <c r="AU243" s="178"/>
      <c r="AV243" s="178"/>
      <c r="AW243" s="178"/>
      <c r="AX243" s="178"/>
      <c r="AY243" s="178"/>
      <c r="AZ243" s="178"/>
      <c r="BA243" s="178"/>
      <c r="BB243" s="178"/>
      <c r="BC243" s="178"/>
      <c r="BD243" s="178"/>
      <c r="BE243" s="178"/>
      <c r="BF243" s="178"/>
      <c r="BG243" s="178"/>
      <c r="BH243" s="178"/>
      <c r="BI243" s="178"/>
      <c r="BJ243" s="178"/>
    </row>
    <row r="244" spans="2:62" ht="75" x14ac:dyDescent="0.2">
      <c r="B244" s="310"/>
      <c r="C244" s="311"/>
      <c r="D244" s="312"/>
      <c r="E244" s="313"/>
      <c r="F244" s="313"/>
      <c r="G244" s="304"/>
      <c r="H244" s="305"/>
      <c r="I244" s="306"/>
      <c r="J244" s="307"/>
      <c r="K244" s="308"/>
      <c r="L244" s="307">
        <f>IF(NOT(ISERROR(MATCH(K244,_xlfn.ANCHORARRAY(G494),0))),J496&amp;"Por favor no seleccionar los criterios de impacto",K244)</f>
        <v>0</v>
      </c>
      <c r="M244" s="306"/>
      <c r="N244" s="307"/>
      <c r="O244" s="309"/>
      <c r="P244" s="168">
        <v>2</v>
      </c>
      <c r="Q244" s="146" t="s">
        <v>515</v>
      </c>
      <c r="R244" s="169" t="str">
        <f>IF(OR(S244="Preventivo",S244="Detectivo"),"Probabilidad",IF(S244="Correctivo","Impacto",""))</f>
        <v>Probabilidad</v>
      </c>
      <c r="S244" s="170" t="s">
        <v>133</v>
      </c>
      <c r="T244" s="170" t="s">
        <v>113</v>
      </c>
      <c r="U244" s="171" t="str">
        <f t="shared" ref="U244:U246" si="365">IF(AND(S244="Preventivo",T244="Automático"),"50%",IF(AND(S244="Preventivo",T244="Manual"),"40%",IF(AND(S244="Detectivo",T244="Automático"),"40%",IF(AND(S244="Detectivo",T244="Manual"),"30%",IF(AND(S244="Correctivo",T244="Automático"),"35%",IF(AND(S244="Correctivo",T244="Manual"),"25%",""))))))</f>
        <v>30%</v>
      </c>
      <c r="V244" s="170" t="s">
        <v>114</v>
      </c>
      <c r="W244" s="170" t="s">
        <v>115</v>
      </c>
      <c r="X244" s="170" t="s">
        <v>134</v>
      </c>
      <c r="Y244" s="172">
        <f>IFERROR(IF(AND(R243="Probabilidad",R244="Probabilidad"),(AA243-(+AA243*U244)),IF(R244="Probabilidad",(J243-(+J243*U244)),IF(R244="Impacto",AA243,""))),"")</f>
        <v>8.3999999999999991E-2</v>
      </c>
      <c r="Z244" s="173" t="str">
        <f t="shared" ref="Z244:Z246" si="366">IFERROR(IF(Y244="","",IF(Y244&lt;=0.2,"Rara vez",IF(Y244&lt;=0.4,"Improbable",IF(Y244&lt;=0.6,"Posible",IF(Y244&lt;=0.8,"Probable","Casi Seguro"))))),"")</f>
        <v>Rara vez</v>
      </c>
      <c r="AA244" s="171">
        <f t="shared" ref="AA244:AA246" si="367">+Y244</f>
        <v>8.3999999999999991E-2</v>
      </c>
      <c r="AB244" s="173" t="str">
        <f t="shared" ref="AB244:AB246" si="368">IFERROR(IF(AC244="","",IF(AC244&lt;=0.6,"Moderado",IF(AC244&lt;=0.8,"Mayor","Catastrófico"))),"")</f>
        <v>Catastrófico</v>
      </c>
      <c r="AC244" s="171">
        <f>IFERROR(IF(AND(R243="Impacto",R244="Impacto"),(AC243-(+AC243*U244)),IF(R244="Impacto",(N243-(+N243*U244)),IF(R244="Probabilidad",AC243,""))),"")</f>
        <v>1</v>
      </c>
      <c r="AD244" s="174" t="str">
        <f t="shared" si="356"/>
        <v>Extremo</v>
      </c>
      <c r="AE244" s="170"/>
      <c r="AF244" s="132"/>
      <c r="AG244" s="194"/>
      <c r="AH244" s="195"/>
      <c r="AI244" s="176"/>
      <c r="AJ244" s="181"/>
      <c r="AK244" s="522"/>
      <c r="AL244" s="535"/>
      <c r="AM244" s="535"/>
      <c r="AN244" s="535"/>
      <c r="AO244" s="535"/>
      <c r="AP244" s="535"/>
      <c r="AQ244" s="535"/>
      <c r="AR244" s="535"/>
      <c r="AS244" s="158"/>
      <c r="AT244" s="158"/>
      <c r="AU244" s="158"/>
      <c r="AV244" s="158"/>
      <c r="AW244" s="158"/>
      <c r="AX244" s="158"/>
      <c r="AY244" s="158"/>
      <c r="AZ244" s="158"/>
      <c r="BA244" s="158"/>
      <c r="BB244" s="158"/>
      <c r="BC244" s="158"/>
      <c r="BD244" s="158"/>
      <c r="BE244" s="158"/>
      <c r="BF244" s="158"/>
      <c r="BG244" s="158"/>
      <c r="BH244" s="158"/>
      <c r="BI244" s="158"/>
      <c r="BJ244" s="158"/>
    </row>
    <row r="245" spans="2:62" ht="75" x14ac:dyDescent="0.2">
      <c r="B245" s="310"/>
      <c r="C245" s="311"/>
      <c r="D245" s="312"/>
      <c r="E245" s="313"/>
      <c r="F245" s="313"/>
      <c r="G245" s="304"/>
      <c r="H245" s="305"/>
      <c r="I245" s="306"/>
      <c r="J245" s="307"/>
      <c r="K245" s="308"/>
      <c r="L245" s="307">
        <f>IF(NOT(ISERROR(MATCH(K245,_xlfn.ANCHORARRAY(G495),0))),J497&amp;"Por favor no seleccionar los criterios de impacto",K245)</f>
        <v>0</v>
      </c>
      <c r="M245" s="306"/>
      <c r="N245" s="307"/>
      <c r="O245" s="309"/>
      <c r="P245" s="168">
        <v>3</v>
      </c>
      <c r="Q245" s="146" t="s">
        <v>516</v>
      </c>
      <c r="R245" s="169" t="s">
        <v>118</v>
      </c>
      <c r="S245" s="170" t="s">
        <v>133</v>
      </c>
      <c r="T245" s="170" t="s">
        <v>113</v>
      </c>
      <c r="U245" s="171" t="str">
        <f t="shared" si="365"/>
        <v>30%</v>
      </c>
      <c r="V245" s="170" t="s">
        <v>114</v>
      </c>
      <c r="W245" s="170" t="s">
        <v>115</v>
      </c>
      <c r="X245" s="170" t="s">
        <v>134</v>
      </c>
      <c r="Y245" s="172">
        <f>IFERROR(IF(AND(R244="Probabilidad",R245="Probabilidad"),(AA244-(+AA244*U245)),IF(AND(R244="Impacto",R245="Probabilidad"),(AA243-(+AA243*U245)),IF(R245="Impacto",AA244,""))),"")</f>
        <v>5.8799999999999991E-2</v>
      </c>
      <c r="Z245" s="173" t="str">
        <f t="shared" si="366"/>
        <v>Rara vez</v>
      </c>
      <c r="AA245" s="171">
        <f t="shared" si="367"/>
        <v>5.8799999999999991E-2</v>
      </c>
      <c r="AB245" s="173" t="str">
        <f t="shared" si="368"/>
        <v>Catastrófico</v>
      </c>
      <c r="AC245" s="171">
        <f>IFERROR(IF(AND(R244="Impacto",R245="Impacto"),(AC244-(+AC244*U245)),IF(AND(R244="Probabilidad",R245="Impacto"),(AC243-(+AC243*U245)),IF(R245="Probabilidad",AC244,""))),"")</f>
        <v>1</v>
      </c>
      <c r="AD245" s="174" t="str">
        <f t="shared" si="356"/>
        <v>Extremo</v>
      </c>
      <c r="AE245" s="196"/>
      <c r="AF245" s="136"/>
      <c r="AG245" s="137"/>
      <c r="AH245" s="131"/>
      <c r="AI245" s="187"/>
      <c r="AJ245" s="188"/>
      <c r="AK245" s="523"/>
      <c r="AL245" s="535"/>
      <c r="AM245" s="535"/>
      <c r="AN245" s="535"/>
      <c r="AO245" s="535"/>
      <c r="AP245" s="535"/>
      <c r="AQ245" s="535"/>
      <c r="AR245" s="535"/>
      <c r="AS245" s="158"/>
      <c r="AT245" s="158"/>
      <c r="AU245" s="158"/>
      <c r="AV245" s="158"/>
      <c r="AW245" s="158"/>
      <c r="AX245" s="158"/>
      <c r="AY245" s="158"/>
      <c r="AZ245" s="158"/>
      <c r="BA245" s="158"/>
      <c r="BB245" s="158"/>
      <c r="BC245" s="158"/>
      <c r="BD245" s="158"/>
      <c r="BE245" s="158"/>
      <c r="BF245" s="158"/>
      <c r="BG245" s="158"/>
      <c r="BH245" s="158"/>
      <c r="BI245" s="158"/>
      <c r="BJ245" s="158"/>
    </row>
    <row r="246" spans="2:62" ht="76.5" x14ac:dyDescent="0.2">
      <c r="B246" s="310"/>
      <c r="C246" s="311"/>
      <c r="D246" s="312"/>
      <c r="E246" s="313"/>
      <c r="F246" s="313"/>
      <c r="G246" s="304"/>
      <c r="H246" s="305"/>
      <c r="I246" s="306"/>
      <c r="J246" s="307"/>
      <c r="K246" s="308"/>
      <c r="L246" s="307">
        <f>IF(NOT(ISERROR(MATCH(K246,_xlfn.ANCHORARRAY(G496),0))),J498&amp;"Por favor no seleccionar los criterios de impacto",K246)</f>
        <v>0</v>
      </c>
      <c r="M246" s="306"/>
      <c r="N246" s="307"/>
      <c r="O246" s="309"/>
      <c r="P246" s="168">
        <v>4</v>
      </c>
      <c r="Q246" s="146" t="s">
        <v>517</v>
      </c>
      <c r="R246" s="169" t="s">
        <v>136</v>
      </c>
      <c r="S246" s="182" t="s">
        <v>137</v>
      </c>
      <c r="T246" s="170" t="s">
        <v>113</v>
      </c>
      <c r="U246" s="171" t="str">
        <f t="shared" si="365"/>
        <v>25%</v>
      </c>
      <c r="V246" s="170" t="s">
        <v>114</v>
      </c>
      <c r="W246" s="170" t="s">
        <v>115</v>
      </c>
      <c r="X246" s="170" t="s">
        <v>134</v>
      </c>
      <c r="Y246" s="172">
        <f t="shared" ref="Y246" si="369">IFERROR(IF(AND(R245="Probabilidad",R246="Probabilidad"),(AA245-(+AA245*U246)),IF(AND(R245="Impacto",R246="Probabilidad"),(AA244-(+AA244*U246)),IF(R246="Impacto",AA245,""))),"")</f>
        <v>5.8799999999999991E-2</v>
      </c>
      <c r="Z246" s="173" t="str">
        <f t="shared" si="366"/>
        <v>Rara vez</v>
      </c>
      <c r="AA246" s="171">
        <f t="shared" si="367"/>
        <v>5.8799999999999991E-2</v>
      </c>
      <c r="AB246" s="173" t="str">
        <f t="shared" si="368"/>
        <v>Mayor</v>
      </c>
      <c r="AC246" s="171">
        <f t="shared" ref="AC246" si="370">IFERROR(IF(AND(R245="Impacto",R246="Impacto"),(AC245-(+AC245*U246)),IF(AND(R245="Probabilidad",R246="Impacto"),(AC244-(+AC244*U246)),IF(R246="Probabilidad",AC245,""))),"")</f>
        <v>0.75</v>
      </c>
      <c r="AD246" s="174" t="str">
        <f t="shared" ref="AD246" si="371">IFERROR(IF(OR(AND(Z246="Rara vez",AB246="Leve"),AND(Z246="Rara vez",AB246="Menor"),AND(Z246="Improbable",AB246="Leve")),"Bajo",IF(OR(AND(Z246="Rara vez",AB246="Moderado"),AND(Z246="Improbable",AB246="Menor"),AND(Z246="Improbable",AB246="Moderado"),AND(Z246="Posible",AB246="Leve"),AND(Z246="Posible",AB246="Menor"),AND(Z246="Posible",AB246="Moderado"),AND(Z246="Probable",AB246="Leve"),AND(Z246="Probable",AB246="Menor")),"Moderado",IF(OR(AND(Z246="Rara vez",AB246="Mayor"),AND(Z246="Improbable",AB246="Mayor"),AND(Z246="Posible",AB246="Mayor"),AND(Z246="Probable",AB246="Moderado"),AND(Z246="Probable",AB246="Mayor"),AND(Z246="Casi Seguro",AB246="Leve"),AND(Z246="Casi Seguro",AB246="Menor"),AND(Z246="Casi Seguro",AB246="Moderado"),AND(Z246="Casi Seguro",AB246="Mayor")),"Alto",IF(OR(AND(Z246="Rara vez",AB246="Catastrófico"),AND(Z246="Improbable",AB246="Catastrófico"),AND(Z246="Posible",AB246="Catastrófico"),AND(Z246="Probable",AB246="Catastrófico"),AND(Z246="Casi Seguro",AB246="Catastrófico")),"Extremo","")))),"")</f>
        <v>Alto</v>
      </c>
      <c r="AE246" s="170" t="s">
        <v>120</v>
      </c>
      <c r="AF246" s="136" t="s">
        <v>518</v>
      </c>
      <c r="AG246" s="136" t="s">
        <v>519</v>
      </c>
      <c r="AH246" s="202">
        <v>45808</v>
      </c>
      <c r="AI246" s="203"/>
      <c r="AJ246" s="136"/>
      <c r="AK246" s="525" t="s">
        <v>520</v>
      </c>
      <c r="AL246" s="535"/>
      <c r="AM246" s="535"/>
      <c r="AN246" s="535"/>
      <c r="AO246" s="535"/>
      <c r="AP246" s="535"/>
      <c r="AQ246" s="535"/>
      <c r="AR246" s="535"/>
      <c r="AS246" s="158"/>
      <c r="AT246" s="158"/>
      <c r="AU246" s="158"/>
      <c r="AV246" s="158"/>
      <c r="AW246" s="158"/>
      <c r="AX246" s="158"/>
      <c r="AY246" s="158"/>
      <c r="AZ246" s="158"/>
      <c r="BA246" s="158"/>
      <c r="BB246" s="158"/>
      <c r="BC246" s="158"/>
      <c r="BD246" s="158"/>
      <c r="BE246" s="158"/>
      <c r="BF246" s="158"/>
      <c r="BG246" s="158"/>
      <c r="BH246" s="158"/>
      <c r="BI246" s="158"/>
      <c r="BJ246" s="158"/>
    </row>
    <row r="247" spans="2:62" s="163" customFormat="1" ht="76.5" x14ac:dyDescent="0.25">
      <c r="B247" s="310" t="s">
        <v>521</v>
      </c>
      <c r="C247" s="311" t="s">
        <v>359</v>
      </c>
      <c r="D247" s="312" t="s">
        <v>467</v>
      </c>
      <c r="E247" s="313" t="s">
        <v>127</v>
      </c>
      <c r="F247" s="313" t="s">
        <v>522</v>
      </c>
      <c r="G247" s="304" t="s">
        <v>523</v>
      </c>
      <c r="H247" s="305" t="s">
        <v>109</v>
      </c>
      <c r="I247" s="306" t="str">
        <f>IF(H247&lt;=0,"",IF(H247="No se ha presentado en los últimos 5 años","Rara vez",IF(H247="Al menos 1 vez en los últimos 5 años","Improbable",IF(H247="Al menos 1 vez en los últimos 2 años","Posible",IF(H247="Al menos 1 vez en el último año","Probable",IF(H247="Más de 1 vez al año","Casi Seguro"))))))</f>
        <v>Rara vez</v>
      </c>
      <c r="J247" s="307">
        <f>IF(I247="","",IF(I247="Rara vez",0.2,IF(I247="Improbable",0.4,IF(I247="Posible",0.6,IF(I247="Probable",0.8,IF(I247="Casi Seguro",1,))))))</f>
        <v>0.2</v>
      </c>
      <c r="K247" s="308" t="s">
        <v>110</v>
      </c>
      <c r="L247" s="307" t="str">
        <f>IF(NOT(ISERROR(MATCH(K247,'Tabla Impacto'!$B$220:$B$222,0))),'Tabla Impacto'!$F$222&amp;"Por favor no seleccionar los criterios de impacto(Criterios para calificar el impacto)",K247)</f>
        <v>Responder afirmativamente de SEIS a ONCE</v>
      </c>
      <c r="M247" s="306" t="str">
        <f>IF(OR(L247='Tabla Impacto'!$C$5),"Moderado",IF(OR(L247='Tabla Impacto'!$C$6),"Mayor",IF(OR(L247='Tabla Impacto'!$C$7),"Catastrófico","")))</f>
        <v>Mayor</v>
      </c>
      <c r="N247" s="307">
        <f>IF(M247="","",IF(M247="Leve",0.2,IF(M247="Menor",0.4,IF(M247="Moderado",0.6,IF(M247="Mayor",0.8,IF(M247="Catastrófico",1,))))))</f>
        <v>0.8</v>
      </c>
      <c r="O247" s="309" t="str">
        <f>IF(OR(AND(I247="Rara vez",M247="Leve"),AND(I247="Rara vez",M247="Menor"),AND(I247="Improbable",M247="Leve")),"Bajo",IF(OR(AND(I247="Rara vez",M247="Moderado"),AND(I247="Improbable",M247="Menor"),AND(I247="Improbable",M247="Moderado"),AND(I247="Posible",M247="Leve"),AND(I247="Posible",M247="Menor"),AND(I247="Posible",M247="Moderado"),AND(I247="Probable",M247="Leve"),AND(I247="Probable",M247="Menor")),"Moderado",IF(OR(AND(I247="Rara vez",M247="Mayor"),AND(I247="Improbable",M247="Mayor"),AND(I247="Posible",M247="Mayor"),AND(I247="Probable",M247="Moderado"),AND(I247="Probable",M247="Mayor"),AND(I247="Casi Seguro",M247="Leve"),AND(I247="Casi Seguro",M247="Menor"),AND(I247="Casi Seguro",M247="Moderado"),AND(I247="Casi Seguro",M247="Mayor")),"Alto",IF(OR(AND(I247="Rara vez",M247="Catastrófico"),AND(I247="Improbable",M247="Catastrófico"),AND(I247="Posible",M247="Catastrófico"),AND(I247="Probable",M247="Catastrófico"),AND(I247="Casi Seguro",M247="Catastrófico")),"Extremo",""))))</f>
        <v>Alto</v>
      </c>
      <c r="P247" s="168">
        <v>1</v>
      </c>
      <c r="Q247" s="146" t="s">
        <v>524</v>
      </c>
      <c r="R247" s="169" t="str">
        <f>IF(OR(S247="Preventivo",S247="Detectivo"),"Probabilidad",IF(S247="Correctivo","Impacto",""))</f>
        <v>Probabilidad</v>
      </c>
      <c r="S247" s="170" t="s">
        <v>112</v>
      </c>
      <c r="T247" s="170" t="s">
        <v>113</v>
      </c>
      <c r="U247" s="171" t="str">
        <f>IF(AND(S247="Preventivo",T247="Automático"),"50%",IF(AND(S247="Preventivo",T247="Manual"),"40%",IF(AND(S247="Detectivo",T247="Automático"),"40%",IF(AND(S247="Detectivo",T247="Manual"),"30%",IF(AND(S247="Correctivo",T247="Automático"),"35%",IF(AND(S247="Correctivo",T247="Manual"),"25%",""))))))</f>
        <v>40%</v>
      </c>
      <c r="V247" s="170" t="s">
        <v>114</v>
      </c>
      <c r="W247" s="170" t="s">
        <v>115</v>
      </c>
      <c r="X247" s="170" t="s">
        <v>134</v>
      </c>
      <c r="Y247" s="172">
        <f>IFERROR(IF(R247="Probabilidad",(J247-(+J247*U247)),IF(R247="Impacto",J247,"")),"")</f>
        <v>0.12</v>
      </c>
      <c r="Z247" s="173" t="str">
        <f>IFERROR(IF(Y247="","",IF(Y247&lt;=0.2,"Rara vez",IF(Y247&lt;=0.4,"Improbable",IF(Y247&lt;=0.6,"Posible",IF(Y247&lt;=0.8,"Probable","Casi Seguro"))))),"")</f>
        <v>Rara vez</v>
      </c>
      <c r="AA247" s="171">
        <f>+Y247</f>
        <v>0.12</v>
      </c>
      <c r="AB247" s="173" t="str">
        <f>IFERROR(IF(AC247="","",IF(AC247&lt;=0.6,"Moderado",IF(AC247&lt;=0.8,"Mayor","Catastrófico"))),"")</f>
        <v>Mayor</v>
      </c>
      <c r="AC247" s="171">
        <f>IFERROR(IF(R247="Impacto",(N247-(+N247*U247)),IF(R247="Probabilidad",N247,"")),"")</f>
        <v>0.8</v>
      </c>
      <c r="AD247" s="174" t="str">
        <f t="shared" ref="AD247:AD262" si="372">IFERROR(IF(OR(AND(Z247="Rara vez",AB247="Leve"),AND(Z247="Rara vez",AB247="Menor"),AND(Z247="Improbable",AB247="Leve")),"Bajo",IF(OR(AND(Z247="Rara vez",AB247="Moderado"),AND(Z247="Improbable",AB247="Menor"),AND(Z247="Improbable",AB247="Moderado"),AND(Z247="Posible",AB247="Leve"),AND(Z247="Posible",AB247="Menor"),AND(Z247="Posible",AB247="Moderado"),AND(Z247="Probable",AB247="Leve"),AND(Z247="Probable",AB247="Menor")),"Moderado",IF(OR(AND(Z247="Rara vez",AB247="Mayor"),AND(Z247="Improbable",AB247="Mayor"),AND(Z247="Posible",AB247="Mayor"),AND(Z247="Probable",AB247="Moderado"),AND(Z247="Probable",AB247="Mayor"),AND(Z247="Casi Seguro",AB247="Leve"),AND(Z247="Casi Seguro",AB247="Menor"),AND(Z247="Casi Seguro",AB247="Moderado"),AND(Z247="Casi Seguro",AB247="Mayor")),"Alto",IF(OR(AND(Z247="Rara vez",AB247="Catastrófico"),AND(Z247="Improbable",AB247="Catastrófico"),AND(Z247="Posible",AB247="Catastrófico"),AND(Z247="Probable",AB247="Catastrófico"),AND(Z247="Casi Seguro",AB247="Catastrófico")),"Extremo","")))),"")</f>
        <v>Alto</v>
      </c>
      <c r="AE247" s="170"/>
      <c r="AF247" s="123"/>
      <c r="AG247" s="123"/>
      <c r="AH247" s="175"/>
      <c r="AI247" s="176"/>
      <c r="AJ247" s="177"/>
      <c r="AK247" s="522"/>
      <c r="AL247" s="534"/>
      <c r="AM247" s="534"/>
      <c r="AN247" s="534"/>
      <c r="AO247" s="534"/>
      <c r="AP247" s="534"/>
      <c r="AQ247" s="534"/>
      <c r="AR247" s="534"/>
      <c r="AS247" s="178"/>
      <c r="AT247" s="178"/>
      <c r="AU247" s="178"/>
      <c r="AV247" s="178"/>
      <c r="AW247" s="178"/>
      <c r="AX247" s="178"/>
      <c r="AY247" s="178"/>
      <c r="AZ247" s="178"/>
      <c r="BA247" s="178"/>
      <c r="BB247" s="178"/>
      <c r="BC247" s="178"/>
      <c r="BD247" s="178"/>
      <c r="BE247" s="178"/>
      <c r="BF247" s="178"/>
      <c r="BG247" s="178"/>
      <c r="BH247" s="178"/>
      <c r="BI247" s="178"/>
      <c r="BJ247" s="178"/>
    </row>
    <row r="248" spans="2:62" ht="76.5" x14ac:dyDescent="0.2">
      <c r="B248" s="310"/>
      <c r="C248" s="311"/>
      <c r="D248" s="312"/>
      <c r="E248" s="313"/>
      <c r="F248" s="313"/>
      <c r="G248" s="304"/>
      <c r="H248" s="305"/>
      <c r="I248" s="306"/>
      <c r="J248" s="307"/>
      <c r="K248" s="308"/>
      <c r="L248" s="307">
        <f>IF(NOT(ISERROR(MATCH(K248,_xlfn.ANCHORARRAY(G498),0))),J500&amp;"Por favor no seleccionar los criterios de impacto",K248)</f>
        <v>0</v>
      </c>
      <c r="M248" s="306"/>
      <c r="N248" s="307"/>
      <c r="O248" s="309"/>
      <c r="P248" s="168">
        <v>2</v>
      </c>
      <c r="Q248" s="146" t="s">
        <v>525</v>
      </c>
      <c r="R248" s="169" t="str">
        <f>IF(OR(S248="Preventivo",S248="Detectivo"),"Probabilidad",IF(S248="Correctivo","Impacto",""))</f>
        <v>Probabilidad</v>
      </c>
      <c r="S248" s="170" t="s">
        <v>133</v>
      </c>
      <c r="T248" s="170" t="s">
        <v>113</v>
      </c>
      <c r="U248" s="171" t="str">
        <f t="shared" ref="U248:U249" si="373">IF(AND(S248="Preventivo",T248="Automático"),"50%",IF(AND(S248="Preventivo",T248="Manual"),"40%",IF(AND(S248="Detectivo",T248="Automático"),"40%",IF(AND(S248="Detectivo",T248="Manual"),"30%",IF(AND(S248="Correctivo",T248="Automático"),"35%",IF(AND(S248="Correctivo",T248="Manual"),"25%",""))))))</f>
        <v>30%</v>
      </c>
      <c r="V248" s="170" t="s">
        <v>119</v>
      </c>
      <c r="W248" s="170" t="s">
        <v>115</v>
      </c>
      <c r="X248" s="170" t="s">
        <v>134</v>
      </c>
      <c r="Y248" s="172">
        <f>IFERROR(IF(AND(R247="Probabilidad",R248="Probabilidad"),(AA247-(+AA247*U248)),IF(R248="Probabilidad",(J247-(+J247*U248)),IF(R248="Impacto",AA247,""))),"")</f>
        <v>8.3999999999999991E-2</v>
      </c>
      <c r="Z248" s="173" t="str">
        <f t="shared" ref="Z248:Z249" si="374">IFERROR(IF(Y248="","",IF(Y248&lt;=0.2,"Rara vez",IF(Y248&lt;=0.4,"Improbable",IF(Y248&lt;=0.6,"Posible",IF(Y248&lt;=0.8,"Probable","Casi Seguro"))))),"")</f>
        <v>Rara vez</v>
      </c>
      <c r="AA248" s="171">
        <f t="shared" ref="AA248:AA249" si="375">+Y248</f>
        <v>8.3999999999999991E-2</v>
      </c>
      <c r="AB248" s="173" t="str">
        <f t="shared" ref="AB248:AB249" si="376">IFERROR(IF(AC248="","",IF(AC248&lt;=0.6,"Moderado",IF(AC248&lt;=0.8,"Mayor","Catastrófico"))),"")</f>
        <v>Mayor</v>
      </c>
      <c r="AC248" s="171">
        <f>IFERROR(IF(AND(R247="Impacto",R248="Impacto"),(AC247-(+AC247*U248)),IF(R248="Impacto",(N247-(+N247*U248)),IF(R248="Probabilidad",AC247,""))),"")</f>
        <v>0.8</v>
      </c>
      <c r="AD248" s="174" t="str">
        <f t="shared" si="372"/>
        <v>Alto</v>
      </c>
      <c r="AE248" s="170"/>
      <c r="AF248" s="132"/>
      <c r="AG248" s="194"/>
      <c r="AH248" s="195"/>
      <c r="AI248" s="176"/>
      <c r="AJ248" s="181"/>
      <c r="AK248" s="522"/>
      <c r="AL248" s="535"/>
      <c r="AM248" s="535"/>
      <c r="AN248" s="535"/>
      <c r="AO248" s="535"/>
      <c r="AP248" s="535"/>
      <c r="AQ248" s="535"/>
      <c r="AR248" s="535"/>
      <c r="AS248" s="158"/>
      <c r="AT248" s="158"/>
      <c r="AU248" s="158"/>
      <c r="AV248" s="158"/>
      <c r="AW248" s="158"/>
      <c r="AX248" s="158"/>
      <c r="AY248" s="158"/>
      <c r="AZ248" s="158"/>
      <c r="BA248" s="158"/>
      <c r="BB248" s="158"/>
      <c r="BC248" s="158"/>
      <c r="BD248" s="158"/>
      <c r="BE248" s="158"/>
      <c r="BF248" s="158"/>
      <c r="BG248" s="158"/>
      <c r="BH248" s="158"/>
      <c r="BI248" s="158"/>
      <c r="BJ248" s="158"/>
    </row>
    <row r="249" spans="2:62" ht="75" x14ac:dyDescent="0.2">
      <c r="B249" s="310"/>
      <c r="C249" s="311"/>
      <c r="D249" s="312"/>
      <c r="E249" s="313"/>
      <c r="F249" s="313"/>
      <c r="G249" s="304"/>
      <c r="H249" s="305"/>
      <c r="I249" s="306"/>
      <c r="J249" s="307"/>
      <c r="K249" s="308"/>
      <c r="L249" s="307">
        <f>IF(NOT(ISERROR(MATCH(K249,_xlfn.ANCHORARRAY(G499),0))),J501&amp;"Por favor no seleccionar los criterios de impacto",K249)</f>
        <v>0</v>
      </c>
      <c r="M249" s="306"/>
      <c r="N249" s="307"/>
      <c r="O249" s="309"/>
      <c r="P249" s="168">
        <v>3</v>
      </c>
      <c r="Q249" s="146" t="s">
        <v>526</v>
      </c>
      <c r="R249" s="169" t="s">
        <v>136</v>
      </c>
      <c r="S249" s="182" t="s">
        <v>137</v>
      </c>
      <c r="T249" s="170" t="s">
        <v>113</v>
      </c>
      <c r="U249" s="171" t="str">
        <f t="shared" si="373"/>
        <v>25%</v>
      </c>
      <c r="V249" s="170" t="s">
        <v>114</v>
      </c>
      <c r="W249" s="170" t="s">
        <v>115</v>
      </c>
      <c r="X249" s="170" t="s">
        <v>134</v>
      </c>
      <c r="Y249" s="172">
        <f>IFERROR(IF(AND(R248="Probabilidad",R249="Probabilidad"),(AA248-(+AA248*U249)),IF(AND(R248="Impacto",R249="Probabilidad"),(AA247-(+AA247*U249)),IF(R249="Impacto",AA248,""))),"")</f>
        <v>8.3999999999999991E-2</v>
      </c>
      <c r="Z249" s="173" t="str">
        <f t="shared" si="374"/>
        <v>Rara vez</v>
      </c>
      <c r="AA249" s="171">
        <f t="shared" si="375"/>
        <v>8.3999999999999991E-2</v>
      </c>
      <c r="AB249" s="173" t="str">
        <f t="shared" si="376"/>
        <v>Moderado</v>
      </c>
      <c r="AC249" s="171">
        <f>IFERROR(IF(AND(R248="Impacto",R249="Impacto"),(AC248-(+AC248*U249)),IF(AND(R248="Probabilidad",R249="Impacto"),(AC247-(+AC247*U249)),IF(R249="Probabilidad",AC248,""))),"")</f>
        <v>0.60000000000000009</v>
      </c>
      <c r="AD249" s="174" t="str">
        <f t="shared" si="372"/>
        <v>Moderado</v>
      </c>
      <c r="AE249" s="196"/>
      <c r="AF249" s="136"/>
      <c r="AG249" s="137"/>
      <c r="AH249" s="131"/>
      <c r="AI249" s="187"/>
      <c r="AJ249" s="188"/>
      <c r="AK249" s="523"/>
      <c r="AL249" s="535"/>
      <c r="AM249" s="535"/>
      <c r="AN249" s="535"/>
      <c r="AO249" s="535"/>
      <c r="AP249" s="535"/>
      <c r="AQ249" s="535"/>
      <c r="AR249" s="535"/>
      <c r="AS249" s="158"/>
      <c r="AT249" s="158"/>
      <c r="AU249" s="158"/>
      <c r="AV249" s="158"/>
      <c r="AW249" s="158"/>
      <c r="AX249" s="158"/>
      <c r="AY249" s="158"/>
      <c r="AZ249" s="158"/>
      <c r="BA249" s="158"/>
      <c r="BB249" s="158"/>
      <c r="BC249" s="158"/>
      <c r="BD249" s="158"/>
      <c r="BE249" s="158"/>
      <c r="BF249" s="158"/>
      <c r="BG249" s="158"/>
      <c r="BH249" s="158"/>
      <c r="BI249" s="158"/>
      <c r="BJ249" s="158"/>
    </row>
    <row r="250" spans="2:62" s="163" customFormat="1" ht="102" x14ac:dyDescent="0.25">
      <c r="B250" s="221" t="s">
        <v>527</v>
      </c>
      <c r="C250" s="143" t="s">
        <v>359</v>
      </c>
      <c r="D250" s="144" t="s">
        <v>149</v>
      </c>
      <c r="E250" s="123" t="s">
        <v>127</v>
      </c>
      <c r="F250" s="123" t="s">
        <v>528</v>
      </c>
      <c r="G250" s="124" t="s">
        <v>529</v>
      </c>
      <c r="H250" s="125" t="s">
        <v>109</v>
      </c>
      <c r="I250" s="164" t="str">
        <f>IF(H250&lt;=0,"",IF(H250="No se ha presentado en los últimos 5 años","Rara vez",IF(H250="Al menos 1 vez en los últimos 5 años","Improbable",IF(H250="Al menos 1 vez en los últimos 2 años","Posible",IF(H250="Al menos 1 vez en el último año","Probable",IF(H250="Más de 1 vez al año","Casi Seguro"))))))</f>
        <v>Rara vez</v>
      </c>
      <c r="J250" s="165">
        <f>IF(I250="","",IF(I250="Rara vez",0.2,IF(I250="Improbable",0.4,IF(I250="Posible",0.6,IF(I250="Probable",0.8,IF(I250="Casi Seguro",1,))))))</f>
        <v>0.2</v>
      </c>
      <c r="K250" s="166" t="s">
        <v>131</v>
      </c>
      <c r="L250" s="165" t="str">
        <f>IF(NOT(ISERROR(MATCH(K250,'Tabla Impacto'!$B$220:$B$222,0))),'Tabla Impacto'!$F$222&amp;"Por favor no seleccionar los criterios de impacto(Criterios para calificar el impacto)",K250)</f>
        <v xml:space="preserve">Responder afirmativamente de DOCE a DIECINUEVE </v>
      </c>
      <c r="M250" s="164" t="str">
        <f>IF(OR(L250='Tabla Impacto'!$C$5),"Moderado",IF(OR(L250='Tabla Impacto'!$C$6),"Mayor",IF(OR(L250='Tabla Impacto'!$C$7),"Catastrófico","")))</f>
        <v>Catastrófico</v>
      </c>
      <c r="N250" s="165">
        <f>IF(M250="","",IF(M250="Leve",0.2,IF(M250="Menor",0.4,IF(M250="Moderado",0.6,IF(M250="Mayor",0.8,IF(M250="Catastrófico",1,))))))</f>
        <v>1</v>
      </c>
      <c r="O250" s="167" t="str">
        <f>IF(OR(AND(I250="Rara vez",M250="Leve"),AND(I250="Rara vez",M250="Menor"),AND(I250="Improbable",M250="Leve")),"Bajo",IF(OR(AND(I250="Rara vez",M250="Moderado"),AND(I250="Improbable",M250="Menor"),AND(I250="Improbable",M250="Moderado"),AND(I250="Posible",M250="Leve"),AND(I250="Posible",M250="Menor"),AND(I250="Posible",M250="Moderado"),AND(I250="Probable",M250="Leve"),AND(I250="Probable",M250="Menor")),"Moderado",IF(OR(AND(I250="Rara vez",M250="Mayor"),AND(I250="Improbable",M250="Mayor"),AND(I250="Posible",M250="Mayor"),AND(I250="Probable",M250="Moderado"),AND(I250="Probable",M250="Mayor"),AND(I250="Casi Seguro",M250="Leve"),AND(I250="Casi Seguro",M250="Menor"),AND(I250="Casi Seguro",M250="Moderado"),AND(I250="Casi Seguro",M250="Mayor")),"Alto",IF(OR(AND(I250="Rara vez",M250="Catastrófico"),AND(I250="Improbable",M250="Catastrófico"),AND(I250="Posible",M250="Catastrófico"),AND(I250="Probable",M250="Catastrófico"),AND(I250="Casi Seguro",M250="Catastrófico")),"Extremo",""))))</f>
        <v>Extremo</v>
      </c>
      <c r="P250" s="168">
        <v>1</v>
      </c>
      <c r="Q250" s="146" t="s">
        <v>530</v>
      </c>
      <c r="R250" s="169" t="str">
        <f>IF(OR(S250="Preventivo",S250="Detectivo"),"Probabilidad",IF(S250="Correctivo","Impacto",""))</f>
        <v>Probabilidad</v>
      </c>
      <c r="S250" s="170" t="s">
        <v>112</v>
      </c>
      <c r="T250" s="170" t="s">
        <v>113</v>
      </c>
      <c r="U250" s="171" t="str">
        <f>IF(AND(S250="Preventivo",T250="Automático"),"50%",IF(AND(S250="Preventivo",T250="Manual"),"40%",IF(AND(S250="Detectivo",T250="Automático"),"40%",IF(AND(S250="Detectivo",T250="Manual"),"30%",IF(AND(S250="Correctivo",T250="Automático"),"35%",IF(AND(S250="Correctivo",T250="Manual"),"25%",""))))))</f>
        <v>40%</v>
      </c>
      <c r="V250" s="170" t="s">
        <v>114</v>
      </c>
      <c r="W250" s="170" t="s">
        <v>115</v>
      </c>
      <c r="X250" s="170" t="s">
        <v>134</v>
      </c>
      <c r="Y250" s="172">
        <f>IFERROR(IF(R250="Probabilidad",(J250-(+J250*U250)),IF(R250="Impacto",J250,"")),"")</f>
        <v>0.12</v>
      </c>
      <c r="Z250" s="173" t="str">
        <f>IFERROR(IF(Y250="","",IF(Y250&lt;=0.2,"Rara vez",IF(Y250&lt;=0.4,"Improbable",IF(Y250&lt;=0.6,"Posible",IF(Y250&lt;=0.8,"Probable","Casi Seguro"))))),"")</f>
        <v>Rara vez</v>
      </c>
      <c r="AA250" s="171">
        <f>+Y250</f>
        <v>0.12</v>
      </c>
      <c r="AB250" s="173" t="str">
        <f>IFERROR(IF(AC250="","",IF(AC250&lt;=0.6,"Moderado",IF(AC250&lt;=0.8,"Mayor","Catastrófico"))),"")</f>
        <v>Catastrófico</v>
      </c>
      <c r="AC250" s="171">
        <f>IFERROR(IF(R250="Impacto",(N250-(+N250*U250)),IF(R250="Probabilidad",N250,"")),"")</f>
        <v>1</v>
      </c>
      <c r="AD250" s="174" t="str">
        <f t="shared" si="372"/>
        <v>Extremo</v>
      </c>
      <c r="AE250" s="170"/>
      <c r="AF250" s="123"/>
      <c r="AG250" s="123"/>
      <c r="AH250" s="175"/>
      <c r="AI250" s="176"/>
      <c r="AJ250" s="177"/>
      <c r="AK250" s="522"/>
      <c r="AL250" s="534"/>
      <c r="AM250" s="534"/>
      <c r="AN250" s="534"/>
      <c r="AO250" s="534"/>
      <c r="AP250" s="534"/>
      <c r="AQ250" s="534"/>
      <c r="AR250" s="534"/>
      <c r="AS250" s="178"/>
      <c r="AT250" s="178"/>
      <c r="AU250" s="178"/>
      <c r="AV250" s="178"/>
      <c r="AW250" s="178"/>
      <c r="AX250" s="178"/>
      <c r="AY250" s="178"/>
      <c r="AZ250" s="178"/>
      <c r="BA250" s="178"/>
      <c r="BB250" s="178"/>
      <c r="BC250" s="178"/>
      <c r="BD250" s="178"/>
      <c r="BE250" s="178"/>
      <c r="BF250" s="178"/>
      <c r="BG250" s="178"/>
      <c r="BH250" s="178"/>
      <c r="BI250" s="178"/>
      <c r="BJ250" s="178"/>
    </row>
    <row r="251" spans="2:62" s="163" customFormat="1" ht="76.5" x14ac:dyDescent="0.25">
      <c r="B251" s="310" t="s">
        <v>531</v>
      </c>
      <c r="C251" s="311" t="s">
        <v>359</v>
      </c>
      <c r="D251" s="312" t="s">
        <v>532</v>
      </c>
      <c r="E251" s="313" t="s">
        <v>127</v>
      </c>
      <c r="F251" s="313" t="s">
        <v>481</v>
      </c>
      <c r="G251" s="304" t="s">
        <v>533</v>
      </c>
      <c r="H251" s="305" t="s">
        <v>109</v>
      </c>
      <c r="I251" s="306" t="str">
        <f>IF(H251&lt;=0,"",IF(H251="No se ha presentado en los últimos 5 años","Rara vez",IF(H251="Al menos 1 vez en los últimos 5 años","Improbable",IF(H251="Al menos 1 vez en los últimos 2 años","Posible",IF(H251="Al menos 1 vez en el último año","Probable",IF(H251="Más de 1 vez al año","Casi Seguro"))))))</f>
        <v>Rara vez</v>
      </c>
      <c r="J251" s="307">
        <f>IF(I251="","",IF(I251="Rara vez",0.2,IF(I251="Improbable",0.4,IF(I251="Posible",0.6,IF(I251="Probable",0.8,IF(I251="Casi Seguro",1,))))))</f>
        <v>0.2</v>
      </c>
      <c r="K251" s="308" t="s">
        <v>131</v>
      </c>
      <c r="L251" s="307" t="str">
        <f>IF(NOT(ISERROR(MATCH(K251,'Tabla Impacto'!$B$220:$B$222,0))),'Tabla Impacto'!$F$222&amp;"Por favor no seleccionar los criterios de impacto(Criterios para calificar el impacto)",K251)</f>
        <v xml:space="preserve">Responder afirmativamente de DOCE a DIECINUEVE </v>
      </c>
      <c r="M251" s="306" t="str">
        <f>IF(OR(L251='Tabla Impacto'!$C$5),"Moderado",IF(OR(L251='Tabla Impacto'!$C$6),"Mayor",IF(OR(L251='Tabla Impacto'!$C$7),"Catastrófico","")))</f>
        <v>Catastrófico</v>
      </c>
      <c r="N251" s="307">
        <f>IF(M251="","",IF(M251="Leve",0.2,IF(M251="Menor",0.4,IF(M251="Moderado",0.6,IF(M251="Mayor",0.8,IF(M251="Catastrófico",1,))))))</f>
        <v>1</v>
      </c>
      <c r="O251" s="309" t="str">
        <f>IF(OR(AND(I251="Rara vez",M251="Leve"),AND(I251="Rara vez",M251="Menor"),AND(I251="Improbable",M251="Leve")),"Bajo",IF(OR(AND(I251="Rara vez",M251="Moderado"),AND(I251="Improbable",M251="Menor"),AND(I251="Improbable",M251="Moderado"),AND(I251="Posible",M251="Leve"),AND(I251="Posible",M251="Menor"),AND(I251="Posible",M251="Moderado"),AND(I251="Probable",M251="Leve"),AND(I251="Probable",M251="Menor")),"Moderado",IF(OR(AND(I251="Rara vez",M251="Mayor"),AND(I251="Improbable",M251="Mayor"),AND(I251="Posible",M251="Mayor"),AND(I251="Probable",M251="Moderado"),AND(I251="Probable",M251="Mayor"),AND(I251="Casi Seguro",M251="Leve"),AND(I251="Casi Seguro",M251="Menor"),AND(I251="Casi Seguro",M251="Moderado"),AND(I251="Casi Seguro",M251="Mayor")),"Alto",IF(OR(AND(I251="Rara vez",M251="Catastrófico"),AND(I251="Improbable",M251="Catastrófico"),AND(I251="Posible",M251="Catastrófico"),AND(I251="Probable",M251="Catastrófico"),AND(I251="Casi Seguro",M251="Catastrófico")),"Extremo",""))))</f>
        <v>Extremo</v>
      </c>
      <c r="P251" s="168">
        <v>1</v>
      </c>
      <c r="Q251" s="146" t="s">
        <v>534</v>
      </c>
      <c r="R251" s="169" t="str">
        <f>IF(OR(S251="Preventivo",S251="Detectivo"),"Probabilidad",IF(S251="Correctivo","Impacto",""))</f>
        <v>Probabilidad</v>
      </c>
      <c r="S251" s="170" t="s">
        <v>133</v>
      </c>
      <c r="T251" s="170" t="s">
        <v>113</v>
      </c>
      <c r="U251" s="171" t="str">
        <f>IF(AND(S251="Preventivo",T251="Automático"),"50%",IF(AND(S251="Preventivo",T251="Manual"),"40%",IF(AND(S251="Detectivo",T251="Automático"),"40%",IF(AND(S251="Detectivo",T251="Manual"),"30%",IF(AND(S251="Correctivo",T251="Automático"),"35%",IF(AND(S251="Correctivo",T251="Manual"),"25%",""))))))</f>
        <v>30%</v>
      </c>
      <c r="V251" s="170" t="s">
        <v>119</v>
      </c>
      <c r="W251" s="170" t="s">
        <v>115</v>
      </c>
      <c r="X251" s="170" t="s">
        <v>134</v>
      </c>
      <c r="Y251" s="172">
        <f>IFERROR(IF(R251="Probabilidad",(J251-(+J251*U251)),IF(R251="Impacto",J251,"")),"")</f>
        <v>0.14000000000000001</v>
      </c>
      <c r="Z251" s="173" t="str">
        <f>IFERROR(IF(Y251="","",IF(Y251&lt;=0.2,"Rara vez",IF(Y251&lt;=0.4,"Improbable",IF(Y251&lt;=0.6,"Posible",IF(Y251&lt;=0.8,"Probable","Casi Seguro"))))),"")</f>
        <v>Rara vez</v>
      </c>
      <c r="AA251" s="171">
        <f>+Y251</f>
        <v>0.14000000000000001</v>
      </c>
      <c r="AB251" s="173" t="str">
        <f>IFERROR(IF(AC251="","",IF(AC251&lt;=0.6,"Moderado",IF(AC251&lt;=0.8,"Mayor","Catastrófico"))),"")</f>
        <v>Catastrófico</v>
      </c>
      <c r="AC251" s="171">
        <f>IFERROR(IF(R251="Impacto",(N251-(+N251*U251)),IF(R251="Probabilidad",N251,"")),"")</f>
        <v>1</v>
      </c>
      <c r="AD251" s="174" t="str">
        <f t="shared" si="372"/>
        <v>Extremo</v>
      </c>
      <c r="AE251" s="170"/>
      <c r="AF251" s="123"/>
      <c r="AG251" s="123"/>
      <c r="AH251" s="175"/>
      <c r="AI251" s="176"/>
      <c r="AJ251" s="177"/>
      <c r="AK251" s="522"/>
      <c r="AL251" s="534"/>
      <c r="AM251" s="534"/>
      <c r="AN251" s="534"/>
      <c r="AO251" s="534"/>
      <c r="AP251" s="534"/>
      <c r="AQ251" s="534"/>
      <c r="AR251" s="534"/>
      <c r="AS251" s="178"/>
      <c r="AT251" s="178"/>
      <c r="AU251" s="178"/>
      <c r="AV251" s="178"/>
      <c r="AW251" s="178"/>
      <c r="AX251" s="178"/>
      <c r="AY251" s="178"/>
      <c r="AZ251" s="178"/>
      <c r="BA251" s="178"/>
      <c r="BB251" s="178"/>
      <c r="BC251" s="178"/>
      <c r="BD251" s="178"/>
      <c r="BE251" s="178"/>
      <c r="BF251" s="178"/>
      <c r="BG251" s="178"/>
      <c r="BH251" s="178"/>
      <c r="BI251" s="178"/>
      <c r="BJ251" s="178"/>
    </row>
    <row r="252" spans="2:62" ht="75" x14ac:dyDescent="0.2">
      <c r="B252" s="310"/>
      <c r="C252" s="311"/>
      <c r="D252" s="312"/>
      <c r="E252" s="313"/>
      <c r="F252" s="313"/>
      <c r="G252" s="304"/>
      <c r="H252" s="305"/>
      <c r="I252" s="306"/>
      <c r="J252" s="307"/>
      <c r="K252" s="308"/>
      <c r="L252" s="307">
        <f>IF(NOT(ISERROR(MATCH(K252,_xlfn.ANCHORARRAY(G502),0))),J504&amp;"Por favor no seleccionar los criterios de impacto",K252)</f>
        <v>0</v>
      </c>
      <c r="M252" s="306"/>
      <c r="N252" s="307"/>
      <c r="O252" s="309"/>
      <c r="P252" s="168">
        <v>2</v>
      </c>
      <c r="Q252" s="146" t="s">
        <v>535</v>
      </c>
      <c r="R252" s="169" t="str">
        <f>IF(OR(S252="Preventivo",S252="Detectivo"),"Probabilidad",IF(S252="Correctivo","Impacto",""))</f>
        <v>Probabilidad</v>
      </c>
      <c r="S252" s="170" t="s">
        <v>133</v>
      </c>
      <c r="T252" s="170" t="s">
        <v>113</v>
      </c>
      <c r="U252" s="171" t="str">
        <f t="shared" ref="U252:U253" si="377">IF(AND(S252="Preventivo",T252="Automático"),"50%",IF(AND(S252="Preventivo",T252="Manual"),"40%",IF(AND(S252="Detectivo",T252="Automático"),"40%",IF(AND(S252="Detectivo",T252="Manual"),"30%",IF(AND(S252="Correctivo",T252="Automático"),"35%",IF(AND(S252="Correctivo",T252="Manual"),"25%",""))))))</f>
        <v>30%</v>
      </c>
      <c r="V252" s="170" t="s">
        <v>114</v>
      </c>
      <c r="W252" s="170" t="s">
        <v>115</v>
      </c>
      <c r="X252" s="170" t="s">
        <v>134</v>
      </c>
      <c r="Y252" s="172">
        <f>IFERROR(IF(AND(R251="Probabilidad",R252="Probabilidad"),(AA251-(+AA251*U252)),IF(R252="Probabilidad",(J251-(+J251*U252)),IF(R252="Impacto",AA251,""))),"")</f>
        <v>9.8000000000000004E-2</v>
      </c>
      <c r="Z252" s="173" t="str">
        <f t="shared" ref="Z252:Z253" si="378">IFERROR(IF(Y252="","",IF(Y252&lt;=0.2,"Rara vez",IF(Y252&lt;=0.4,"Improbable",IF(Y252&lt;=0.6,"Posible",IF(Y252&lt;=0.8,"Probable","Casi Seguro"))))),"")</f>
        <v>Rara vez</v>
      </c>
      <c r="AA252" s="171">
        <f t="shared" ref="AA252:AA253" si="379">+Y252</f>
        <v>9.8000000000000004E-2</v>
      </c>
      <c r="AB252" s="173" t="str">
        <f t="shared" ref="AB252:AB253" si="380">IFERROR(IF(AC252="","",IF(AC252&lt;=0.6,"Moderado",IF(AC252&lt;=0.8,"Mayor","Catastrófico"))),"")</f>
        <v>Catastrófico</v>
      </c>
      <c r="AC252" s="171">
        <f>IFERROR(IF(AND(R251="Impacto",R252="Impacto"),(AC251-(+AC251*U252)),IF(R252="Impacto",(N251-(+N251*U252)),IF(R252="Probabilidad",AC251,""))),"")</f>
        <v>1</v>
      </c>
      <c r="AD252" s="174" t="str">
        <f t="shared" si="372"/>
        <v>Extremo</v>
      </c>
      <c r="AE252" s="170"/>
      <c r="AF252" s="132"/>
      <c r="AG252" s="194"/>
      <c r="AH252" s="195"/>
      <c r="AI252" s="176"/>
      <c r="AJ252" s="181"/>
      <c r="AK252" s="522"/>
      <c r="AL252" s="535"/>
      <c r="AM252" s="535"/>
      <c r="AN252" s="535"/>
      <c r="AO252" s="535"/>
      <c r="AP252" s="535"/>
      <c r="AQ252" s="535"/>
      <c r="AR252" s="535"/>
      <c r="AS252" s="158"/>
      <c r="AT252" s="158"/>
      <c r="AU252" s="158"/>
      <c r="AV252" s="158"/>
      <c r="AW252" s="158"/>
      <c r="AX252" s="158"/>
      <c r="AY252" s="158"/>
      <c r="AZ252" s="158"/>
      <c r="BA252" s="158"/>
      <c r="BB252" s="158"/>
      <c r="BC252" s="158"/>
      <c r="BD252" s="158"/>
      <c r="BE252" s="158"/>
      <c r="BF252" s="158"/>
      <c r="BG252" s="158"/>
      <c r="BH252" s="158"/>
      <c r="BI252" s="158"/>
      <c r="BJ252" s="158"/>
    </row>
    <row r="253" spans="2:62" ht="75" x14ac:dyDescent="0.2">
      <c r="B253" s="310"/>
      <c r="C253" s="311"/>
      <c r="D253" s="312"/>
      <c r="E253" s="313"/>
      <c r="F253" s="313"/>
      <c r="G253" s="304"/>
      <c r="H253" s="305"/>
      <c r="I253" s="306"/>
      <c r="J253" s="307"/>
      <c r="K253" s="308"/>
      <c r="L253" s="307">
        <f>IF(NOT(ISERROR(MATCH(K253,_xlfn.ANCHORARRAY(G503),0))),J505&amp;"Por favor no seleccionar los criterios de impacto",K253)</f>
        <v>0</v>
      </c>
      <c r="M253" s="306"/>
      <c r="N253" s="307"/>
      <c r="O253" s="309"/>
      <c r="P253" s="168">
        <v>3</v>
      </c>
      <c r="Q253" s="146" t="s">
        <v>536</v>
      </c>
      <c r="R253" s="169" t="s">
        <v>136</v>
      </c>
      <c r="S253" s="182" t="s">
        <v>137</v>
      </c>
      <c r="T253" s="170" t="s">
        <v>113</v>
      </c>
      <c r="U253" s="171" t="str">
        <f t="shared" si="377"/>
        <v>25%</v>
      </c>
      <c r="V253" s="170" t="s">
        <v>114</v>
      </c>
      <c r="W253" s="170" t="s">
        <v>115</v>
      </c>
      <c r="X253" s="170" t="s">
        <v>134</v>
      </c>
      <c r="Y253" s="172">
        <f>IFERROR(IF(AND(R252="Probabilidad",R253="Probabilidad"),(AA252-(+AA252*U253)),IF(AND(R252="Impacto",R253="Probabilidad"),(AA251-(+AA251*U253)),IF(R253="Impacto",AA252,""))),"")</f>
        <v>9.8000000000000004E-2</v>
      </c>
      <c r="Z253" s="173" t="str">
        <f t="shared" si="378"/>
        <v>Rara vez</v>
      </c>
      <c r="AA253" s="171">
        <f t="shared" si="379"/>
        <v>9.8000000000000004E-2</v>
      </c>
      <c r="AB253" s="173" t="str">
        <f t="shared" si="380"/>
        <v>Mayor</v>
      </c>
      <c r="AC253" s="171">
        <f>IFERROR(IF(AND(R252="Impacto",R253="Impacto"),(AC252-(+AC252*U253)),IF(AND(R252="Probabilidad",R253="Impacto"),(AC251-(+AC251*U253)),IF(R253="Probabilidad",AC252,""))),"")</f>
        <v>0.75</v>
      </c>
      <c r="AD253" s="174" t="str">
        <f t="shared" si="372"/>
        <v>Alto</v>
      </c>
      <c r="AE253" s="196"/>
      <c r="AF253" s="136"/>
      <c r="AG253" s="137"/>
      <c r="AH253" s="131"/>
      <c r="AI253" s="187"/>
      <c r="AJ253" s="188"/>
      <c r="AK253" s="523"/>
      <c r="AL253" s="535"/>
      <c r="AM253" s="535"/>
      <c r="AN253" s="535"/>
      <c r="AO253" s="535"/>
      <c r="AP253" s="535"/>
      <c r="AQ253" s="535"/>
      <c r="AR253" s="535"/>
      <c r="AS253" s="158"/>
      <c r="AT253" s="158"/>
      <c r="AU253" s="158"/>
      <c r="AV253" s="158"/>
      <c r="AW253" s="158"/>
      <c r="AX253" s="158"/>
      <c r="AY253" s="158"/>
      <c r="AZ253" s="158"/>
      <c r="BA253" s="158"/>
      <c r="BB253" s="158"/>
      <c r="BC253" s="158"/>
      <c r="BD253" s="158"/>
      <c r="BE253" s="158"/>
      <c r="BF253" s="158"/>
      <c r="BG253" s="158"/>
      <c r="BH253" s="158"/>
      <c r="BI253" s="158"/>
      <c r="BJ253" s="158"/>
    </row>
    <row r="254" spans="2:62" s="163" customFormat="1" ht="76.5" x14ac:dyDescent="0.25">
      <c r="B254" s="310" t="s">
        <v>537</v>
      </c>
      <c r="C254" s="311" t="s">
        <v>220</v>
      </c>
      <c r="D254" s="312" t="s">
        <v>487</v>
      </c>
      <c r="E254" s="313" t="s">
        <v>127</v>
      </c>
      <c r="F254" s="313" t="s">
        <v>538</v>
      </c>
      <c r="G254" s="304" t="s">
        <v>337</v>
      </c>
      <c r="H254" s="305" t="s">
        <v>109</v>
      </c>
      <c r="I254" s="306" t="str">
        <f>IF(H254&lt;=0,"",IF(H254="No se ha presentado en los últimos 5 años","Rara vez",IF(H254="Al menos 1 vez en los últimos 5 años","Improbable",IF(H254="Al menos 1 vez en los últimos 2 años","Posible",IF(H254="Al menos 1 vez en el último año","Probable",IF(H254="Más de 1 vez al año","Casi Seguro"))))))</f>
        <v>Rara vez</v>
      </c>
      <c r="J254" s="307">
        <f>IF(I254="","",IF(I254="Rara vez",0.2,IF(I254="Improbable",0.4,IF(I254="Posible",0.6,IF(I254="Probable",0.8,IF(I254="Casi Seguro",1,))))))</f>
        <v>0.2</v>
      </c>
      <c r="K254" s="308" t="s">
        <v>131</v>
      </c>
      <c r="L254" s="307" t="str">
        <f>IF(NOT(ISERROR(MATCH(K254,'Tabla Impacto'!$B$220:$B$222,0))),'Tabla Impacto'!$F$222&amp;"Por favor no seleccionar los criterios de impacto(Criterios para calificar el impacto)",K254)</f>
        <v xml:space="preserve">Responder afirmativamente de DOCE a DIECINUEVE </v>
      </c>
      <c r="M254" s="306" t="str">
        <f>IF(OR(L254='Tabla Impacto'!$C$5),"Moderado",IF(OR(L254='Tabla Impacto'!$C$6),"Mayor",IF(OR(L254='Tabla Impacto'!$C$7),"Catastrófico","")))</f>
        <v>Catastrófico</v>
      </c>
      <c r="N254" s="307">
        <f>IF(M254="","",IF(M254="Leve",0.2,IF(M254="Menor",0.4,IF(M254="Moderado",0.6,IF(M254="Mayor",0.8,IF(M254="Catastrófico",1,))))))</f>
        <v>1</v>
      </c>
      <c r="O254" s="309" t="str">
        <f>IF(OR(AND(I254="Rara vez",M254="Leve"),AND(I254="Rara vez",M254="Menor"),AND(I254="Improbable",M254="Leve")),"Bajo",IF(OR(AND(I254="Rara vez",M254="Moderado"),AND(I254="Improbable",M254="Menor"),AND(I254="Improbable",M254="Moderado"),AND(I254="Posible",M254="Leve"),AND(I254="Posible",M254="Menor"),AND(I254="Posible",M254="Moderado"),AND(I254="Probable",M254="Leve"),AND(I254="Probable",M254="Menor")),"Moderado",IF(OR(AND(I254="Rara vez",M254="Mayor"),AND(I254="Improbable",M254="Mayor"),AND(I254="Posible",M254="Mayor"),AND(I254="Probable",M254="Moderado"),AND(I254="Probable",M254="Mayor"),AND(I254="Casi Seguro",M254="Leve"),AND(I254="Casi Seguro",M254="Menor"),AND(I254="Casi Seguro",M254="Moderado"),AND(I254="Casi Seguro",M254="Mayor")),"Alto",IF(OR(AND(I254="Rara vez",M254="Catastrófico"),AND(I254="Improbable",M254="Catastrófico"),AND(I254="Posible",M254="Catastrófico"),AND(I254="Probable",M254="Catastrófico"),AND(I254="Casi Seguro",M254="Catastrófico")),"Extremo",""))))</f>
        <v>Extremo</v>
      </c>
      <c r="P254" s="168">
        <v>1</v>
      </c>
      <c r="Q254" s="146" t="s">
        <v>539</v>
      </c>
      <c r="R254" s="169" t="str">
        <f>IF(OR(S254="Preventivo",S254="Detectivo"),"Probabilidad",IF(S254="Correctivo","Impacto",""))</f>
        <v>Probabilidad</v>
      </c>
      <c r="S254" s="170" t="s">
        <v>112</v>
      </c>
      <c r="T254" s="170" t="s">
        <v>113</v>
      </c>
      <c r="U254" s="171" t="str">
        <f>IF(AND(S254="Preventivo",T254="Automático"),"50%",IF(AND(S254="Preventivo",T254="Manual"),"40%",IF(AND(S254="Detectivo",T254="Automático"),"40%",IF(AND(S254="Detectivo",T254="Manual"),"30%",IF(AND(S254="Correctivo",T254="Automático"),"35%",IF(AND(S254="Correctivo",T254="Manual"),"25%",""))))))</f>
        <v>40%</v>
      </c>
      <c r="V254" s="170" t="s">
        <v>119</v>
      </c>
      <c r="W254" s="170" t="s">
        <v>115</v>
      </c>
      <c r="X254" s="170" t="s">
        <v>134</v>
      </c>
      <c r="Y254" s="172">
        <f>IFERROR(IF(R254="Probabilidad",(J254-(+J254*U254)),IF(R254="Impacto",J254,"")),"")</f>
        <v>0.12</v>
      </c>
      <c r="Z254" s="173" t="str">
        <f>IFERROR(IF(Y254="","",IF(Y254&lt;=0.2,"Rara vez",IF(Y254&lt;=0.4,"Improbable",IF(Y254&lt;=0.6,"Posible",IF(Y254&lt;=0.8,"Probable","Casi Seguro"))))),"")</f>
        <v>Rara vez</v>
      </c>
      <c r="AA254" s="171">
        <f>+Y254</f>
        <v>0.12</v>
      </c>
      <c r="AB254" s="173" t="str">
        <f>IFERROR(IF(AC254="","",IF(AC254&lt;=0.6,"Moderado",IF(AC254&lt;=0.8,"Mayor","Catastrófico"))),"")</f>
        <v>Catastrófico</v>
      </c>
      <c r="AC254" s="171">
        <f>IFERROR(IF(R254="Impacto",(N254-(+N254*U254)),IF(R254="Probabilidad",N254,"")),"")</f>
        <v>1</v>
      </c>
      <c r="AD254" s="174" t="str">
        <f t="shared" si="372"/>
        <v>Extremo</v>
      </c>
      <c r="AE254" s="170"/>
      <c r="AF254" s="123"/>
      <c r="AG254" s="123"/>
      <c r="AH254" s="175"/>
      <c r="AI254" s="176"/>
      <c r="AJ254" s="177"/>
      <c r="AK254" s="522"/>
      <c r="AL254" s="534"/>
      <c r="AM254" s="534"/>
      <c r="AN254" s="534"/>
      <c r="AO254" s="534"/>
      <c r="AP254" s="534"/>
      <c r="AQ254" s="534"/>
      <c r="AR254" s="534"/>
      <c r="AS254" s="178"/>
      <c r="AT254" s="178"/>
      <c r="AU254" s="178"/>
      <c r="AV254" s="178"/>
      <c r="AW254" s="178"/>
      <c r="AX254" s="178"/>
      <c r="AY254" s="178"/>
      <c r="AZ254" s="178"/>
      <c r="BA254" s="178"/>
      <c r="BB254" s="178"/>
      <c r="BC254" s="178"/>
      <c r="BD254" s="178"/>
      <c r="BE254" s="178"/>
      <c r="BF254" s="178"/>
      <c r="BG254" s="178"/>
      <c r="BH254" s="178"/>
      <c r="BI254" s="178"/>
      <c r="BJ254" s="178"/>
    </row>
    <row r="255" spans="2:62" ht="76.5" x14ac:dyDescent="0.2">
      <c r="B255" s="310"/>
      <c r="C255" s="311"/>
      <c r="D255" s="312"/>
      <c r="E255" s="313"/>
      <c r="F255" s="313"/>
      <c r="G255" s="304"/>
      <c r="H255" s="305"/>
      <c r="I255" s="306"/>
      <c r="J255" s="307"/>
      <c r="K255" s="308"/>
      <c r="L255" s="307">
        <f>IF(NOT(ISERROR(MATCH(K255,_xlfn.ANCHORARRAY(G505),0))),J507&amp;"Por favor no seleccionar los criterios de impacto",K255)</f>
        <v>0</v>
      </c>
      <c r="M255" s="306"/>
      <c r="N255" s="307"/>
      <c r="O255" s="309"/>
      <c r="P255" s="168">
        <v>2</v>
      </c>
      <c r="Q255" s="146" t="s">
        <v>540</v>
      </c>
      <c r="R255" s="169" t="str">
        <f>IF(OR(S255="Preventivo",S255="Detectivo"),"Probabilidad",IF(S255="Correctivo","Impacto",""))</f>
        <v>Probabilidad</v>
      </c>
      <c r="S255" s="170" t="s">
        <v>133</v>
      </c>
      <c r="T255" s="170" t="s">
        <v>113</v>
      </c>
      <c r="U255" s="171" t="str">
        <f t="shared" ref="U255:U256" si="381">IF(AND(S255="Preventivo",T255="Automático"),"50%",IF(AND(S255="Preventivo",T255="Manual"),"40%",IF(AND(S255="Detectivo",T255="Automático"),"40%",IF(AND(S255="Detectivo",T255="Manual"),"30%",IF(AND(S255="Correctivo",T255="Automático"),"35%",IF(AND(S255="Correctivo",T255="Manual"),"25%",""))))))</f>
        <v>30%</v>
      </c>
      <c r="V255" s="170" t="s">
        <v>119</v>
      </c>
      <c r="W255" s="170" t="s">
        <v>115</v>
      </c>
      <c r="X255" s="170" t="s">
        <v>134</v>
      </c>
      <c r="Y255" s="172">
        <f>IFERROR(IF(AND(R254="Probabilidad",R255="Probabilidad"),(AA254-(+AA254*U255)),IF(R255="Probabilidad",(J254-(+J254*U255)),IF(R255="Impacto",AA254,""))),"")</f>
        <v>8.3999999999999991E-2</v>
      </c>
      <c r="Z255" s="173" t="str">
        <f t="shared" ref="Z255:Z256" si="382">IFERROR(IF(Y255="","",IF(Y255&lt;=0.2,"Rara vez",IF(Y255&lt;=0.4,"Improbable",IF(Y255&lt;=0.6,"Posible",IF(Y255&lt;=0.8,"Probable","Casi Seguro"))))),"")</f>
        <v>Rara vez</v>
      </c>
      <c r="AA255" s="171">
        <f t="shared" ref="AA255:AA256" si="383">+Y255</f>
        <v>8.3999999999999991E-2</v>
      </c>
      <c r="AB255" s="173" t="str">
        <f t="shared" ref="AB255:AB256" si="384">IFERROR(IF(AC255="","",IF(AC255&lt;=0.6,"Moderado",IF(AC255&lt;=0.8,"Mayor","Catastrófico"))),"")</f>
        <v>Catastrófico</v>
      </c>
      <c r="AC255" s="171">
        <f>IFERROR(IF(AND(R254="Impacto",R255="Impacto"),(AC254-(+AC254*U255)),IF(R255="Impacto",(N254-(+N254*U255)),IF(R255="Probabilidad",AC254,""))),"")</f>
        <v>1</v>
      </c>
      <c r="AD255" s="174" t="str">
        <f t="shared" si="372"/>
        <v>Extremo</v>
      </c>
      <c r="AE255" s="170"/>
      <c r="AF255" s="132"/>
      <c r="AG255" s="194"/>
      <c r="AH255" s="195"/>
      <c r="AI255" s="176"/>
      <c r="AJ255" s="181"/>
      <c r="AK255" s="522"/>
      <c r="AL255" s="535"/>
      <c r="AM255" s="535"/>
      <c r="AN255" s="535"/>
      <c r="AO255" s="535"/>
      <c r="AP255" s="535"/>
      <c r="AQ255" s="535"/>
      <c r="AR255" s="535"/>
      <c r="AS255" s="158"/>
      <c r="AT255" s="158"/>
      <c r="AU255" s="158"/>
      <c r="AV255" s="158"/>
      <c r="AW255" s="158"/>
      <c r="AX255" s="158"/>
      <c r="AY255" s="158"/>
      <c r="AZ255" s="158"/>
      <c r="BA255" s="158"/>
      <c r="BB255" s="158"/>
      <c r="BC255" s="158"/>
      <c r="BD255" s="158"/>
      <c r="BE255" s="158"/>
      <c r="BF255" s="158"/>
      <c r="BG255" s="158"/>
      <c r="BH255" s="158"/>
      <c r="BI255" s="158"/>
      <c r="BJ255" s="158"/>
    </row>
    <row r="256" spans="2:62" ht="75" x14ac:dyDescent="0.2">
      <c r="B256" s="310"/>
      <c r="C256" s="311"/>
      <c r="D256" s="312"/>
      <c r="E256" s="313"/>
      <c r="F256" s="313"/>
      <c r="G256" s="304"/>
      <c r="H256" s="305"/>
      <c r="I256" s="306"/>
      <c r="J256" s="307"/>
      <c r="K256" s="308"/>
      <c r="L256" s="307">
        <f>IF(NOT(ISERROR(MATCH(K256,_xlfn.ANCHORARRAY(G506),0))),J508&amp;"Por favor no seleccionar los criterios de impacto",K256)</f>
        <v>0</v>
      </c>
      <c r="M256" s="306"/>
      <c r="N256" s="307"/>
      <c r="O256" s="309"/>
      <c r="P256" s="168">
        <v>3</v>
      </c>
      <c r="Q256" s="146" t="s">
        <v>526</v>
      </c>
      <c r="R256" s="169" t="s">
        <v>136</v>
      </c>
      <c r="S256" s="182" t="s">
        <v>137</v>
      </c>
      <c r="T256" s="170" t="s">
        <v>113</v>
      </c>
      <c r="U256" s="171" t="str">
        <f t="shared" si="381"/>
        <v>25%</v>
      </c>
      <c r="V256" s="170" t="s">
        <v>114</v>
      </c>
      <c r="W256" s="170" t="s">
        <v>115</v>
      </c>
      <c r="X256" s="170" t="s">
        <v>134</v>
      </c>
      <c r="Y256" s="172">
        <f>IFERROR(IF(AND(R255="Probabilidad",R256="Probabilidad"),(AA255-(+AA255*U256)),IF(AND(R255="Impacto",R256="Probabilidad"),(AA254-(+AA254*U256)),IF(R256="Impacto",AA255,""))),"")</f>
        <v>8.3999999999999991E-2</v>
      </c>
      <c r="Z256" s="173" t="str">
        <f t="shared" si="382"/>
        <v>Rara vez</v>
      </c>
      <c r="AA256" s="171">
        <f t="shared" si="383"/>
        <v>8.3999999999999991E-2</v>
      </c>
      <c r="AB256" s="173" t="str">
        <f t="shared" si="384"/>
        <v>Mayor</v>
      </c>
      <c r="AC256" s="171">
        <f>IFERROR(IF(AND(R255="Impacto",R256="Impacto"),(AC255-(+AC255*U256)),IF(AND(R255="Probabilidad",R256="Impacto"),(AC254-(+AC254*U256)),IF(R256="Probabilidad",AC255,""))),"")</f>
        <v>0.75</v>
      </c>
      <c r="AD256" s="174" t="str">
        <f t="shared" si="372"/>
        <v>Alto</v>
      </c>
      <c r="AE256" s="196"/>
      <c r="AF256" s="136"/>
      <c r="AG256" s="137"/>
      <c r="AH256" s="131"/>
      <c r="AI256" s="187"/>
      <c r="AJ256" s="188"/>
      <c r="AK256" s="523"/>
      <c r="AL256" s="535"/>
      <c r="AM256" s="535"/>
      <c r="AN256" s="535"/>
      <c r="AO256" s="535"/>
      <c r="AP256" s="535"/>
      <c r="AQ256" s="535"/>
      <c r="AR256" s="535"/>
      <c r="AS256" s="158"/>
      <c r="AT256" s="158"/>
      <c r="AU256" s="158"/>
      <c r="AV256" s="158"/>
      <c r="AW256" s="158"/>
      <c r="AX256" s="158"/>
      <c r="AY256" s="158"/>
      <c r="AZ256" s="158"/>
      <c r="BA256" s="158"/>
      <c r="BB256" s="158"/>
      <c r="BC256" s="158"/>
      <c r="BD256" s="158"/>
      <c r="BE256" s="158"/>
      <c r="BF256" s="158"/>
      <c r="BG256" s="158"/>
      <c r="BH256" s="158"/>
      <c r="BI256" s="158"/>
      <c r="BJ256" s="158"/>
    </row>
    <row r="257" spans="2:62" s="163" customFormat="1" ht="65.25" x14ac:dyDescent="0.25">
      <c r="B257" s="310" t="s">
        <v>541</v>
      </c>
      <c r="C257" s="311" t="s">
        <v>314</v>
      </c>
      <c r="D257" s="312" t="s">
        <v>498</v>
      </c>
      <c r="E257" s="313" t="s">
        <v>127</v>
      </c>
      <c r="F257" s="313" t="s">
        <v>336</v>
      </c>
      <c r="G257" s="304" t="s">
        <v>337</v>
      </c>
      <c r="H257" s="305" t="s">
        <v>109</v>
      </c>
      <c r="I257" s="306" t="str">
        <f>IF(H257&lt;=0,"",IF(H257="No se ha presentado en los últimos 5 años","Rara vez",IF(H257="Al menos 1 vez en los últimos 5 años","Improbable",IF(H257="Al menos 1 vez en los últimos 2 años","Posible",IF(H257="Al menos 1 vez en el último año","Probable",IF(H257="Más de 1 vez al año","Casi Seguro"))))))</f>
        <v>Rara vez</v>
      </c>
      <c r="J257" s="307">
        <f>IF(I257="","",IF(I257="Rara vez",0.2,IF(I257="Improbable",0.4,IF(I257="Posible",0.6,IF(I257="Probable",0.8,IF(I257="Casi Seguro",1,))))))</f>
        <v>0.2</v>
      </c>
      <c r="K257" s="308" t="s">
        <v>131</v>
      </c>
      <c r="L257" s="307" t="str">
        <f>IF(NOT(ISERROR(MATCH(K257,'Tabla Impacto'!$B$220:$B$222,0))),'Tabla Impacto'!$F$222&amp;"Por favor no seleccionar los criterios de impacto(Criterios para calificar el impacto)",K257)</f>
        <v xml:space="preserve">Responder afirmativamente de DOCE a DIECINUEVE </v>
      </c>
      <c r="M257" s="306" t="str">
        <f>IF(OR(L257='Tabla Impacto'!$C$5),"Moderado",IF(OR(L257='Tabla Impacto'!$C$6),"Mayor",IF(OR(L257='Tabla Impacto'!$C$7),"Catastrófico","")))</f>
        <v>Catastrófico</v>
      </c>
      <c r="N257" s="307">
        <f>IF(M257="","",IF(M257="Leve",0.2,IF(M257="Menor",0.4,IF(M257="Moderado",0.6,IF(M257="Mayor",0.8,IF(M257="Catastrófico",1,))))))</f>
        <v>1</v>
      </c>
      <c r="O257" s="309" t="str">
        <f>IF(OR(AND(I257="Rara vez",M257="Leve"),AND(I257="Rara vez",M257="Menor"),AND(I257="Improbable",M257="Leve")),"Bajo",IF(OR(AND(I257="Rara vez",M257="Moderado"),AND(I257="Improbable",M257="Menor"),AND(I257="Improbable",M257="Moderado"),AND(I257="Posible",M257="Leve"),AND(I257="Posible",M257="Menor"),AND(I257="Posible",M257="Moderado"),AND(I257="Probable",M257="Leve"),AND(I257="Probable",M257="Menor")),"Moderado",IF(OR(AND(I257="Rara vez",M257="Mayor"),AND(I257="Improbable",M257="Mayor"),AND(I257="Posible",M257="Mayor"),AND(I257="Probable",M257="Moderado"),AND(I257="Probable",M257="Mayor"),AND(I257="Casi Seguro",M257="Leve"),AND(I257="Casi Seguro",M257="Menor"),AND(I257="Casi Seguro",M257="Moderado"),AND(I257="Casi Seguro",M257="Mayor")),"Alto",IF(OR(AND(I257="Rara vez",M257="Catastrófico"),AND(I257="Improbable",M257="Catastrófico"),AND(I257="Posible",M257="Catastrófico"),AND(I257="Probable",M257="Catastrófico"),AND(I257="Casi Seguro",M257="Catastrófico")),"Extremo",""))))</f>
        <v>Extremo</v>
      </c>
      <c r="P257" s="168">
        <v>1</v>
      </c>
      <c r="Q257" s="146" t="s">
        <v>542</v>
      </c>
      <c r="R257" s="169" t="str">
        <f>IF(OR(S257="Preventivo",S257="Detectivo"),"Probabilidad",IF(S257="Correctivo","Impacto",""))</f>
        <v>Probabilidad</v>
      </c>
      <c r="S257" s="170" t="s">
        <v>112</v>
      </c>
      <c r="T257" s="170" t="s">
        <v>113</v>
      </c>
      <c r="U257" s="171" t="str">
        <f>IF(AND(S257="Preventivo",T257="Automático"),"50%",IF(AND(S257="Preventivo",T257="Manual"),"40%",IF(AND(S257="Detectivo",T257="Automático"),"40%",IF(AND(S257="Detectivo",T257="Manual"),"30%",IF(AND(S257="Correctivo",T257="Automático"),"35%",IF(AND(S257="Correctivo",T257="Manual"),"25%",""))))))</f>
        <v>40%</v>
      </c>
      <c r="V257" s="170" t="s">
        <v>119</v>
      </c>
      <c r="W257" s="170" t="s">
        <v>115</v>
      </c>
      <c r="X257" s="170" t="s">
        <v>134</v>
      </c>
      <c r="Y257" s="172">
        <f>IFERROR(IF(R257="Probabilidad",(J257-(+J257*U257)),IF(R257="Impacto",J257,"")),"")</f>
        <v>0.12</v>
      </c>
      <c r="Z257" s="173" t="str">
        <f>IFERROR(IF(Y257="","",IF(Y257&lt;=0.2,"Rara vez",IF(Y257&lt;=0.4,"Improbable",IF(Y257&lt;=0.6,"Posible",IF(Y257&lt;=0.8,"Probable","Casi Seguro"))))),"")</f>
        <v>Rara vez</v>
      </c>
      <c r="AA257" s="171">
        <f>+Y257</f>
        <v>0.12</v>
      </c>
      <c r="AB257" s="173" t="str">
        <f>IFERROR(IF(AC257="","",IF(AC257&lt;=0.6,"Moderado",IF(AC257&lt;=0.8,"Mayor","Catastrófico"))),"")</f>
        <v>Catastrófico</v>
      </c>
      <c r="AC257" s="171">
        <f>IFERROR(IF(R257="Impacto",(N257-(+N257*U257)),IF(R257="Probabilidad",N257,"")),"")</f>
        <v>1</v>
      </c>
      <c r="AD257" s="174" t="str">
        <f t="shared" si="372"/>
        <v>Extremo</v>
      </c>
      <c r="AE257" s="170"/>
      <c r="AF257" s="123"/>
      <c r="AG257" s="123"/>
      <c r="AH257" s="175"/>
      <c r="AI257" s="176"/>
      <c r="AJ257" s="177"/>
      <c r="AK257" s="522"/>
      <c r="AL257" s="534"/>
      <c r="AM257" s="534"/>
      <c r="AN257" s="534"/>
      <c r="AO257" s="534"/>
      <c r="AP257" s="534"/>
      <c r="AQ257" s="534"/>
      <c r="AR257" s="534"/>
      <c r="AS257" s="178"/>
      <c r="AT257" s="178"/>
      <c r="AU257" s="178"/>
      <c r="AV257" s="178"/>
      <c r="AW257" s="178"/>
      <c r="AX257" s="178"/>
      <c r="AY257" s="178"/>
      <c r="AZ257" s="178"/>
      <c r="BA257" s="178"/>
      <c r="BB257" s="178"/>
      <c r="BC257" s="178"/>
      <c r="BD257" s="178"/>
      <c r="BE257" s="178"/>
      <c r="BF257" s="178"/>
      <c r="BG257" s="178"/>
      <c r="BH257" s="178"/>
      <c r="BI257" s="178"/>
      <c r="BJ257" s="178"/>
    </row>
    <row r="258" spans="2:62" ht="75" x14ac:dyDescent="0.2">
      <c r="B258" s="310"/>
      <c r="C258" s="311"/>
      <c r="D258" s="312"/>
      <c r="E258" s="313"/>
      <c r="F258" s="313"/>
      <c r="G258" s="304"/>
      <c r="H258" s="305"/>
      <c r="I258" s="306"/>
      <c r="J258" s="307"/>
      <c r="K258" s="308"/>
      <c r="L258" s="307">
        <f>IF(NOT(ISERROR(MATCH(K258,_xlfn.ANCHORARRAY(G508),0))),J510&amp;"Por favor no seleccionar los criterios de impacto",K258)</f>
        <v>0</v>
      </c>
      <c r="M258" s="306"/>
      <c r="N258" s="307"/>
      <c r="O258" s="309"/>
      <c r="P258" s="168">
        <v>2</v>
      </c>
      <c r="Q258" s="146" t="s">
        <v>543</v>
      </c>
      <c r="R258" s="169" t="str">
        <f>IF(OR(S258="Preventivo",S258="Detectivo"),"Probabilidad",IF(S258="Correctivo","Impacto",""))</f>
        <v>Probabilidad</v>
      </c>
      <c r="S258" s="170" t="s">
        <v>133</v>
      </c>
      <c r="T258" s="170" t="s">
        <v>113</v>
      </c>
      <c r="U258" s="171" t="str">
        <f t="shared" ref="U258:U259" si="385">IF(AND(S258="Preventivo",T258="Automático"),"50%",IF(AND(S258="Preventivo",T258="Manual"),"40%",IF(AND(S258="Detectivo",T258="Automático"),"40%",IF(AND(S258="Detectivo",T258="Manual"),"30%",IF(AND(S258="Correctivo",T258="Automático"),"35%",IF(AND(S258="Correctivo",T258="Manual"),"25%",""))))))</f>
        <v>30%</v>
      </c>
      <c r="V258" s="170" t="s">
        <v>114</v>
      </c>
      <c r="W258" s="170" t="s">
        <v>115</v>
      </c>
      <c r="X258" s="170" t="s">
        <v>134</v>
      </c>
      <c r="Y258" s="172">
        <f>IFERROR(IF(AND(R257="Probabilidad",R258="Probabilidad"),(AA257-(+AA257*U258)),IF(R258="Probabilidad",(J257-(+J257*U258)),IF(R258="Impacto",AA257,""))),"")</f>
        <v>8.3999999999999991E-2</v>
      </c>
      <c r="Z258" s="173" t="str">
        <f t="shared" ref="Z258:Z259" si="386">IFERROR(IF(Y258="","",IF(Y258&lt;=0.2,"Rara vez",IF(Y258&lt;=0.4,"Improbable",IF(Y258&lt;=0.6,"Posible",IF(Y258&lt;=0.8,"Probable","Casi Seguro"))))),"")</f>
        <v>Rara vez</v>
      </c>
      <c r="AA258" s="171">
        <f t="shared" ref="AA258:AA259" si="387">+Y258</f>
        <v>8.3999999999999991E-2</v>
      </c>
      <c r="AB258" s="173" t="str">
        <f t="shared" ref="AB258:AB259" si="388">IFERROR(IF(AC258="","",IF(AC258&lt;=0.6,"Moderado",IF(AC258&lt;=0.8,"Mayor","Catastrófico"))),"")</f>
        <v>Catastrófico</v>
      </c>
      <c r="AC258" s="171">
        <f>IFERROR(IF(AND(R257="Impacto",R258="Impacto"),(AC257-(+AC257*U258)),IF(R258="Impacto",(N257-(+N257*U258)),IF(R258="Probabilidad",AC257,""))),"")</f>
        <v>1</v>
      </c>
      <c r="AD258" s="174" t="str">
        <f t="shared" si="372"/>
        <v>Extremo</v>
      </c>
      <c r="AE258" s="170"/>
      <c r="AF258" s="132"/>
      <c r="AG258" s="194"/>
      <c r="AH258" s="195"/>
      <c r="AI258" s="176"/>
      <c r="AJ258" s="181"/>
      <c r="AK258" s="522"/>
      <c r="AL258" s="535"/>
      <c r="AM258" s="535"/>
      <c r="AN258" s="535"/>
      <c r="AO258" s="535"/>
      <c r="AP258" s="535"/>
      <c r="AQ258" s="535"/>
      <c r="AR258" s="535"/>
      <c r="AS258" s="158"/>
      <c r="AT258" s="158"/>
      <c r="AU258" s="158"/>
      <c r="AV258" s="158"/>
      <c r="AW258" s="158"/>
      <c r="AX258" s="158"/>
      <c r="AY258" s="158"/>
      <c r="AZ258" s="158"/>
      <c r="BA258" s="158"/>
      <c r="BB258" s="158"/>
      <c r="BC258" s="158"/>
      <c r="BD258" s="158"/>
      <c r="BE258" s="158"/>
      <c r="BF258" s="158"/>
      <c r="BG258" s="158"/>
      <c r="BH258" s="158"/>
      <c r="BI258" s="158"/>
      <c r="BJ258" s="158"/>
    </row>
    <row r="259" spans="2:62" ht="76.5" x14ac:dyDescent="0.2">
      <c r="B259" s="310"/>
      <c r="C259" s="311"/>
      <c r="D259" s="312"/>
      <c r="E259" s="313"/>
      <c r="F259" s="313"/>
      <c r="G259" s="304"/>
      <c r="H259" s="305"/>
      <c r="I259" s="306"/>
      <c r="J259" s="307"/>
      <c r="K259" s="308"/>
      <c r="L259" s="307">
        <f>IF(NOT(ISERROR(MATCH(K259,_xlfn.ANCHORARRAY(G509),0))),J511&amp;"Por favor no seleccionar los criterios de impacto",K259)</f>
        <v>0</v>
      </c>
      <c r="M259" s="306"/>
      <c r="N259" s="307"/>
      <c r="O259" s="309"/>
      <c r="P259" s="168">
        <v>3</v>
      </c>
      <c r="Q259" s="146" t="s">
        <v>544</v>
      </c>
      <c r="R259" s="169" t="s">
        <v>136</v>
      </c>
      <c r="S259" s="182" t="s">
        <v>137</v>
      </c>
      <c r="T259" s="170" t="s">
        <v>113</v>
      </c>
      <c r="U259" s="171" t="str">
        <f t="shared" si="385"/>
        <v>25%</v>
      </c>
      <c r="V259" s="170" t="s">
        <v>114</v>
      </c>
      <c r="W259" s="170" t="s">
        <v>115</v>
      </c>
      <c r="X259" s="170" t="s">
        <v>134</v>
      </c>
      <c r="Y259" s="172">
        <f>IFERROR(IF(AND(R258="Probabilidad",R259="Probabilidad"),(AA258-(+AA258*U259)),IF(AND(R258="Impacto",R259="Probabilidad"),(AA257-(+AA257*U259)),IF(R259="Impacto",AA258,""))),"")</f>
        <v>8.3999999999999991E-2</v>
      </c>
      <c r="Z259" s="173" t="str">
        <f t="shared" si="386"/>
        <v>Rara vez</v>
      </c>
      <c r="AA259" s="171">
        <f t="shared" si="387"/>
        <v>8.3999999999999991E-2</v>
      </c>
      <c r="AB259" s="173" t="str">
        <f t="shared" si="388"/>
        <v>Mayor</v>
      </c>
      <c r="AC259" s="171">
        <f>IFERROR(IF(AND(R258="Impacto",R259="Impacto"),(AC258-(+AC258*U259)),IF(AND(R258="Probabilidad",R259="Impacto"),(AC257-(+AC257*U259)),IF(R259="Probabilidad",AC258,""))),"")</f>
        <v>0.75</v>
      </c>
      <c r="AD259" s="174" t="str">
        <f t="shared" si="372"/>
        <v>Alto</v>
      </c>
      <c r="AE259" s="196" t="s">
        <v>120</v>
      </c>
      <c r="AF259" s="136" t="s">
        <v>545</v>
      </c>
      <c r="AG259" s="136" t="s">
        <v>546</v>
      </c>
      <c r="AH259" s="202">
        <v>46022</v>
      </c>
      <c r="AI259" s="187"/>
      <c r="AJ259" s="188"/>
      <c r="AK259" s="523" t="s">
        <v>123</v>
      </c>
      <c r="AL259" s="535"/>
      <c r="AM259" s="535"/>
      <c r="AN259" s="535"/>
      <c r="AO259" s="535"/>
      <c r="AP259" s="535"/>
      <c r="AQ259" s="535"/>
      <c r="AR259" s="535"/>
      <c r="AS259" s="158"/>
      <c r="AT259" s="158"/>
      <c r="AU259" s="158"/>
      <c r="AV259" s="158"/>
      <c r="AW259" s="158"/>
      <c r="AX259" s="158"/>
      <c r="AY259" s="158"/>
      <c r="AZ259" s="158"/>
      <c r="BA259" s="158"/>
      <c r="BB259" s="158"/>
      <c r="BC259" s="158"/>
      <c r="BD259" s="158"/>
      <c r="BE259" s="158"/>
      <c r="BF259" s="158"/>
      <c r="BG259" s="158"/>
      <c r="BH259" s="158"/>
      <c r="BI259" s="158"/>
      <c r="BJ259" s="158"/>
    </row>
    <row r="260" spans="2:62" s="163" customFormat="1" ht="102" x14ac:dyDescent="0.25">
      <c r="B260" s="310" t="s">
        <v>547</v>
      </c>
      <c r="C260" s="311" t="s">
        <v>314</v>
      </c>
      <c r="D260" s="312" t="s">
        <v>548</v>
      </c>
      <c r="E260" s="313" t="s">
        <v>127</v>
      </c>
      <c r="F260" s="313" t="s">
        <v>170</v>
      </c>
      <c r="G260" s="304" t="s">
        <v>337</v>
      </c>
      <c r="H260" s="305" t="s">
        <v>109</v>
      </c>
      <c r="I260" s="306" t="str">
        <f>IF(H260&lt;=0,"",IF(H260="No se ha presentado en los últimos 5 años","Rara vez",IF(H260="Al menos 1 vez en los últimos 5 años","Improbable",IF(H260="Al menos 1 vez en los últimos 2 años","Posible",IF(H260="Al menos 1 vez en el último año","Probable",IF(H260="Más de 1 vez al año","Casi Seguro"))))))</f>
        <v>Rara vez</v>
      </c>
      <c r="J260" s="307">
        <f>IF(I260="","",IF(I260="Rara vez",0.2,IF(I260="Improbable",0.4,IF(I260="Posible",0.6,IF(I260="Probable",0.8,IF(I260="Casi Seguro",1,))))))</f>
        <v>0.2</v>
      </c>
      <c r="K260" s="308" t="s">
        <v>131</v>
      </c>
      <c r="L260" s="307" t="str">
        <f>IF(NOT(ISERROR(MATCH(K260,'Tabla Impacto'!$B$220:$B$222,0))),'Tabla Impacto'!$F$222&amp;"Por favor no seleccionar los criterios de impacto(Criterios para calificar el impacto)",K260)</f>
        <v xml:space="preserve">Responder afirmativamente de DOCE a DIECINUEVE </v>
      </c>
      <c r="M260" s="306" t="str">
        <f>IF(OR(L260='Tabla Impacto'!$C$5),"Moderado",IF(OR(L260='Tabla Impacto'!$C$6),"Mayor",IF(OR(L260='Tabla Impacto'!$C$7),"Catastrófico","")))</f>
        <v>Catastrófico</v>
      </c>
      <c r="N260" s="307">
        <f>IF(M260="","",IF(M260="Leve",0.2,IF(M260="Menor",0.4,IF(M260="Moderado",0.6,IF(M260="Mayor",0.8,IF(M260="Catastrófico",1,))))))</f>
        <v>1</v>
      </c>
      <c r="O260" s="309" t="str">
        <f>IF(OR(AND(I260="Rara vez",M260="Leve"),AND(I260="Rara vez",M260="Menor"),AND(I260="Improbable",M260="Leve")),"Bajo",IF(OR(AND(I260="Rara vez",M260="Moderado"),AND(I260="Improbable",M260="Menor"),AND(I260="Improbable",M260="Moderado"),AND(I260="Posible",M260="Leve"),AND(I260="Posible",M260="Menor"),AND(I260="Posible",M260="Moderado"),AND(I260="Probable",M260="Leve"),AND(I260="Probable",M260="Menor")),"Moderado",IF(OR(AND(I260="Rara vez",M260="Mayor"),AND(I260="Improbable",M260="Mayor"),AND(I260="Posible",M260="Mayor"),AND(I260="Probable",M260="Moderado"),AND(I260="Probable",M260="Mayor"),AND(I260="Casi Seguro",M260="Leve"),AND(I260="Casi Seguro",M260="Menor"),AND(I260="Casi Seguro",M260="Moderado"),AND(I260="Casi Seguro",M260="Mayor")),"Alto",IF(OR(AND(I260="Rara vez",M260="Catastrófico"),AND(I260="Improbable",M260="Catastrófico"),AND(I260="Posible",M260="Catastrófico"),AND(I260="Probable",M260="Catastrófico"),AND(I260="Casi Seguro",M260="Catastrófico")),"Extremo",""))))</f>
        <v>Extremo</v>
      </c>
      <c r="P260" s="168">
        <v>1</v>
      </c>
      <c r="Q260" s="146" t="s">
        <v>549</v>
      </c>
      <c r="R260" s="169" t="str">
        <f>IF(OR(S260="Preventivo",S260="Detectivo"),"Probabilidad",IF(S260="Correctivo","Impacto",""))</f>
        <v>Probabilidad</v>
      </c>
      <c r="S260" s="170" t="s">
        <v>112</v>
      </c>
      <c r="T260" s="170" t="s">
        <v>113</v>
      </c>
      <c r="U260" s="171" t="str">
        <f>IF(AND(S260="Preventivo",T260="Automático"),"50%",IF(AND(S260="Preventivo",T260="Manual"),"40%",IF(AND(S260="Detectivo",T260="Automático"),"40%",IF(AND(S260="Detectivo",T260="Manual"),"30%",IF(AND(S260="Correctivo",T260="Automático"),"35%",IF(AND(S260="Correctivo",T260="Manual"),"25%",""))))))</f>
        <v>40%</v>
      </c>
      <c r="V260" s="170" t="s">
        <v>119</v>
      </c>
      <c r="W260" s="170" t="s">
        <v>115</v>
      </c>
      <c r="X260" s="170" t="s">
        <v>134</v>
      </c>
      <c r="Y260" s="172">
        <f>IFERROR(IF(R260="Probabilidad",(J260-(+J260*U260)),IF(R260="Impacto",J260,"")),"")</f>
        <v>0.12</v>
      </c>
      <c r="Z260" s="173" t="str">
        <f>IFERROR(IF(Y260="","",IF(Y260&lt;=0.2,"Rara vez",IF(Y260&lt;=0.4,"Improbable",IF(Y260&lt;=0.6,"Posible",IF(Y260&lt;=0.8,"Probable","Casi Seguro"))))),"")</f>
        <v>Rara vez</v>
      </c>
      <c r="AA260" s="171">
        <f>+Y260</f>
        <v>0.12</v>
      </c>
      <c r="AB260" s="173" t="str">
        <f>IFERROR(IF(AC260="","",IF(AC260&lt;=0.6,"Moderado",IF(AC260&lt;=0.8,"Mayor","Catastrófico"))),"")</f>
        <v>Catastrófico</v>
      </c>
      <c r="AC260" s="171">
        <f>IFERROR(IF(R260="Impacto",(N260-(+N260*U260)),IF(R260="Probabilidad",N260,"")),"")</f>
        <v>1</v>
      </c>
      <c r="AD260" s="174" t="str">
        <f t="shared" si="372"/>
        <v>Extremo</v>
      </c>
      <c r="AE260" s="170"/>
      <c r="AF260" s="123"/>
      <c r="AG260" s="123"/>
      <c r="AH260" s="175"/>
      <c r="AI260" s="176"/>
      <c r="AJ260" s="177"/>
      <c r="AK260" s="522"/>
      <c r="AL260" s="534"/>
      <c r="AM260" s="534"/>
      <c r="AN260" s="534"/>
      <c r="AO260" s="534"/>
      <c r="AP260" s="534"/>
      <c r="AQ260" s="534"/>
      <c r="AR260" s="534"/>
      <c r="AS260" s="178"/>
      <c r="AT260" s="178"/>
      <c r="AU260" s="178"/>
      <c r="AV260" s="178"/>
      <c r="AW260" s="178"/>
      <c r="AX260" s="178"/>
      <c r="AY260" s="178"/>
      <c r="AZ260" s="178"/>
      <c r="BA260" s="178"/>
      <c r="BB260" s="178"/>
      <c r="BC260" s="178"/>
      <c r="BD260" s="178"/>
      <c r="BE260" s="178"/>
      <c r="BF260" s="178"/>
      <c r="BG260" s="178"/>
      <c r="BH260" s="178"/>
      <c r="BI260" s="178"/>
      <c r="BJ260" s="178"/>
    </row>
    <row r="261" spans="2:62" ht="89.25" x14ac:dyDescent="0.2">
      <c r="B261" s="310"/>
      <c r="C261" s="311"/>
      <c r="D261" s="312"/>
      <c r="E261" s="313"/>
      <c r="F261" s="313"/>
      <c r="G261" s="304"/>
      <c r="H261" s="305"/>
      <c r="I261" s="306"/>
      <c r="J261" s="307"/>
      <c r="K261" s="308"/>
      <c r="L261" s="307">
        <f>IF(NOT(ISERROR(MATCH(K261,_xlfn.ANCHORARRAY(G511),0))),J513&amp;"Por favor no seleccionar los criterios de impacto",K261)</f>
        <v>0</v>
      </c>
      <c r="M261" s="306"/>
      <c r="N261" s="307"/>
      <c r="O261" s="309"/>
      <c r="P261" s="168">
        <v>2</v>
      </c>
      <c r="Q261" s="146" t="s">
        <v>550</v>
      </c>
      <c r="R261" s="169" t="str">
        <f>IF(OR(S261="Preventivo",S261="Detectivo"),"Probabilidad",IF(S261="Correctivo","Impacto",""))</f>
        <v>Probabilidad</v>
      </c>
      <c r="S261" s="170" t="s">
        <v>133</v>
      </c>
      <c r="T261" s="170" t="s">
        <v>113</v>
      </c>
      <c r="U261" s="171" t="str">
        <f t="shared" ref="U261:U262" si="389">IF(AND(S261="Preventivo",T261="Automático"),"50%",IF(AND(S261="Preventivo",T261="Manual"),"40%",IF(AND(S261="Detectivo",T261="Automático"),"40%",IF(AND(S261="Detectivo",T261="Manual"),"30%",IF(AND(S261="Correctivo",T261="Automático"),"35%",IF(AND(S261="Correctivo",T261="Manual"),"25%",""))))))</f>
        <v>30%</v>
      </c>
      <c r="V261" s="170" t="s">
        <v>119</v>
      </c>
      <c r="W261" s="170" t="s">
        <v>115</v>
      </c>
      <c r="X261" s="170" t="s">
        <v>134</v>
      </c>
      <c r="Y261" s="172">
        <f>IFERROR(IF(AND(R260="Probabilidad",R261="Probabilidad"),(AA260-(+AA260*U261)),IF(R261="Probabilidad",(J260-(+J260*U261)),IF(R261="Impacto",AA260,""))),"")</f>
        <v>8.3999999999999991E-2</v>
      </c>
      <c r="Z261" s="173" t="str">
        <f t="shared" ref="Z261:Z262" si="390">IFERROR(IF(Y261="","",IF(Y261&lt;=0.2,"Rara vez",IF(Y261&lt;=0.4,"Improbable",IF(Y261&lt;=0.6,"Posible",IF(Y261&lt;=0.8,"Probable","Casi Seguro"))))),"")</f>
        <v>Rara vez</v>
      </c>
      <c r="AA261" s="171">
        <f t="shared" ref="AA261:AA262" si="391">+Y261</f>
        <v>8.3999999999999991E-2</v>
      </c>
      <c r="AB261" s="173" t="str">
        <f t="shared" ref="AB261:AB262" si="392">IFERROR(IF(AC261="","",IF(AC261&lt;=0.6,"Moderado",IF(AC261&lt;=0.8,"Mayor","Catastrófico"))),"")</f>
        <v>Catastrófico</v>
      </c>
      <c r="AC261" s="171">
        <f>IFERROR(IF(AND(R260="Impacto",R261="Impacto"),(AC260-(+AC260*U261)),IF(R261="Impacto",(N260-(+N260*U261)),IF(R261="Probabilidad",AC260,""))),"")</f>
        <v>1</v>
      </c>
      <c r="AD261" s="174" t="str">
        <f t="shared" si="372"/>
        <v>Extremo</v>
      </c>
      <c r="AE261" s="170"/>
      <c r="AF261" s="132"/>
      <c r="AG261" s="194"/>
      <c r="AH261" s="195"/>
      <c r="AI261" s="176"/>
      <c r="AJ261" s="181"/>
      <c r="AK261" s="522"/>
      <c r="AL261" s="535"/>
      <c r="AM261" s="535"/>
      <c r="AN261" s="535"/>
      <c r="AO261" s="535"/>
      <c r="AP261" s="535"/>
      <c r="AQ261" s="535"/>
      <c r="AR261" s="535"/>
      <c r="AS261" s="158"/>
      <c r="AT261" s="158"/>
      <c r="AU261" s="158"/>
      <c r="AV261" s="158"/>
      <c r="AW261" s="158"/>
      <c r="AX261" s="158"/>
      <c r="AY261" s="158"/>
      <c r="AZ261" s="158"/>
      <c r="BA261" s="158"/>
      <c r="BB261" s="158"/>
      <c r="BC261" s="158"/>
      <c r="BD261" s="158"/>
      <c r="BE261" s="158"/>
      <c r="BF261" s="158"/>
      <c r="BG261" s="158"/>
      <c r="BH261" s="158"/>
      <c r="BI261" s="158"/>
      <c r="BJ261" s="158"/>
    </row>
    <row r="262" spans="2:62" ht="76.5" x14ac:dyDescent="0.2">
      <c r="B262" s="310"/>
      <c r="C262" s="311"/>
      <c r="D262" s="312"/>
      <c r="E262" s="313"/>
      <c r="F262" s="313"/>
      <c r="G262" s="304"/>
      <c r="H262" s="305"/>
      <c r="I262" s="306"/>
      <c r="J262" s="307"/>
      <c r="K262" s="308"/>
      <c r="L262" s="307">
        <f>IF(NOT(ISERROR(MATCH(K262,_xlfn.ANCHORARRAY(G512),0))),J514&amp;"Por favor no seleccionar los criterios de impacto",K262)</f>
        <v>0</v>
      </c>
      <c r="M262" s="306"/>
      <c r="N262" s="307"/>
      <c r="O262" s="309"/>
      <c r="P262" s="168">
        <v>3</v>
      </c>
      <c r="Q262" s="146" t="s">
        <v>551</v>
      </c>
      <c r="R262" s="169" t="s">
        <v>136</v>
      </c>
      <c r="S262" s="182" t="s">
        <v>137</v>
      </c>
      <c r="T262" s="170" t="s">
        <v>113</v>
      </c>
      <c r="U262" s="171" t="str">
        <f t="shared" si="389"/>
        <v>25%</v>
      </c>
      <c r="V262" s="170" t="s">
        <v>114</v>
      </c>
      <c r="W262" s="170" t="s">
        <v>115</v>
      </c>
      <c r="X262" s="170" t="s">
        <v>134</v>
      </c>
      <c r="Y262" s="172">
        <f>IFERROR(IF(AND(R261="Probabilidad",R262="Probabilidad"),(AA261-(+AA261*U262)),IF(AND(R261="Impacto",R262="Probabilidad"),(AA260-(+AA260*U262)),IF(R262="Impacto",AA261,""))),"")</f>
        <v>8.3999999999999991E-2</v>
      </c>
      <c r="Z262" s="173" t="str">
        <f t="shared" si="390"/>
        <v>Rara vez</v>
      </c>
      <c r="AA262" s="171">
        <f t="shared" si="391"/>
        <v>8.3999999999999991E-2</v>
      </c>
      <c r="AB262" s="173" t="str">
        <f t="shared" si="392"/>
        <v>Mayor</v>
      </c>
      <c r="AC262" s="171">
        <f>IFERROR(IF(AND(R261="Impacto",R262="Impacto"),(AC261-(+AC261*U262)),IF(AND(R261="Probabilidad",R262="Impacto"),(AC260-(+AC260*U262)),IF(R262="Probabilidad",AC261,""))),"")</f>
        <v>0.75</v>
      </c>
      <c r="AD262" s="174" t="str">
        <f t="shared" si="372"/>
        <v>Alto</v>
      </c>
      <c r="AE262" s="196" t="s">
        <v>120</v>
      </c>
      <c r="AF262" s="136"/>
      <c r="AG262" s="203"/>
      <c r="AH262" s="202"/>
      <c r="AI262" s="187"/>
      <c r="AJ262" s="188"/>
      <c r="AK262" s="523"/>
      <c r="AL262" s="535"/>
      <c r="AM262" s="535"/>
      <c r="AN262" s="535"/>
      <c r="AO262" s="535"/>
      <c r="AP262" s="535"/>
      <c r="AQ262" s="535"/>
      <c r="AR262" s="535"/>
      <c r="AS262" s="158"/>
      <c r="AT262" s="158"/>
      <c r="AU262" s="158"/>
      <c r="AV262" s="158"/>
      <c r="AW262" s="158"/>
      <c r="AX262" s="158"/>
      <c r="AY262" s="158"/>
      <c r="AZ262" s="158"/>
      <c r="BA262" s="158"/>
      <c r="BB262" s="158"/>
      <c r="BC262" s="158"/>
      <c r="BD262" s="158"/>
      <c r="BE262" s="158"/>
      <c r="BF262" s="158"/>
      <c r="BG262" s="158"/>
      <c r="BH262" s="158"/>
      <c r="BI262" s="158"/>
      <c r="BJ262" s="158"/>
    </row>
    <row r="263" spans="2:62" s="163" customFormat="1" ht="191.25" x14ac:dyDescent="0.25">
      <c r="B263" s="222" t="s">
        <v>552</v>
      </c>
      <c r="C263" s="143" t="s">
        <v>314</v>
      </c>
      <c r="D263" s="144" t="s">
        <v>315</v>
      </c>
      <c r="E263" s="123" t="s">
        <v>127</v>
      </c>
      <c r="F263" s="123" t="s">
        <v>553</v>
      </c>
      <c r="G263" s="124" t="s">
        <v>317</v>
      </c>
      <c r="H263" s="125" t="s">
        <v>109</v>
      </c>
      <c r="I263" s="164" t="str">
        <f>IF(H263&lt;=0,"",IF(H263="No se ha presentado en los últimos 5 años","Rara vez",IF(H263="Al menos 1 vez en los últimos 5 años","Improbable",IF(H263="Al menos 1 vez en los últimos 2 años","Posible",IF(H263="Al menos 1 vez en el último año","Probable",IF(H263="Más de 1 vez al año","Casi Seguro"))))))</f>
        <v>Rara vez</v>
      </c>
      <c r="J263" s="165">
        <f>IF(I263="","",IF(I263="Rara vez",0.2,IF(I263="Improbable",0.4,IF(I263="Posible",0.6,IF(I263="Probable",0.8,IF(I263="Casi Seguro",1,))))))</f>
        <v>0.2</v>
      </c>
      <c r="K263" s="166" t="s">
        <v>131</v>
      </c>
      <c r="L263" s="165" t="str">
        <f>IF(NOT(ISERROR(MATCH(K263,'Tabla Impacto'!$B$220:$B$222,0))),'Tabla Impacto'!$F$222&amp;"Por favor no seleccionar los criterios de impacto(Criterios para calificar el impacto)",K263)</f>
        <v xml:space="preserve">Responder afirmativamente de DOCE a DIECINUEVE </v>
      </c>
      <c r="M263" s="164" t="str">
        <f>IF(OR(L263='Tabla Impacto'!$C$5),"Moderado",IF(OR(L263='Tabla Impacto'!$C$6),"Mayor",IF(OR(L263='Tabla Impacto'!$C$7),"Catastrófico","")))</f>
        <v>Catastrófico</v>
      </c>
      <c r="N263" s="165">
        <f>IF(M263="","",IF(M263="Leve",0.2,IF(M263="Menor",0.4,IF(M263="Moderado",0.6,IF(M263="Mayor",0.8,IF(M263="Catastrófico",1,))))))</f>
        <v>1</v>
      </c>
      <c r="O263" s="167" t="str">
        <f>IF(OR(AND(I263="Rara vez",M263="Leve"),AND(I263="Rara vez",M263="Menor"),AND(I263="Improbable",M263="Leve")),"Bajo",IF(OR(AND(I263="Rara vez",M263="Moderado"),AND(I263="Improbable",M263="Menor"),AND(I263="Improbable",M263="Moderado"),AND(I263="Posible",M263="Leve"),AND(I263="Posible",M263="Menor"),AND(I263="Posible",M263="Moderado"),AND(I263="Probable",M263="Leve"),AND(I263="Probable",M263="Menor")),"Moderado",IF(OR(AND(I263="Rara vez",M263="Mayor"),AND(I263="Improbable",M263="Mayor"),AND(I263="Posible",M263="Mayor"),AND(I263="Probable",M263="Moderado"),AND(I263="Probable",M263="Mayor"),AND(I263="Casi Seguro",M263="Leve"),AND(I263="Casi Seguro",M263="Menor"),AND(I263="Casi Seguro",M263="Moderado"),AND(I263="Casi Seguro",M263="Mayor")),"Alto",IF(OR(AND(I263="Rara vez",M263="Catastrófico"),AND(I263="Improbable",M263="Catastrófico"),AND(I263="Posible",M263="Catastrófico"),AND(I263="Probable",M263="Catastrófico"),AND(I263="Casi Seguro",M263="Catastrófico")),"Extremo",""))))</f>
        <v>Extremo</v>
      </c>
      <c r="P263" s="168">
        <v>1</v>
      </c>
      <c r="Q263" s="146" t="s">
        <v>554</v>
      </c>
      <c r="R263" s="169" t="str">
        <f>IF(OR(S263="Preventivo",S263="Detectivo"),"Probabilidad",IF(S263="Correctivo","Impacto",""))</f>
        <v>Probabilidad</v>
      </c>
      <c r="S263" s="170" t="s">
        <v>112</v>
      </c>
      <c r="T263" s="170" t="s">
        <v>113</v>
      </c>
      <c r="U263" s="171" t="str">
        <f>IF(AND(S263="Preventivo",T263="Automático"),"50%",IF(AND(S263="Preventivo",T263="Manual"),"40%",IF(AND(S263="Detectivo",T263="Automático"),"40%",IF(AND(S263="Detectivo",T263="Manual"),"30%",IF(AND(S263="Correctivo",T263="Automático"),"35%",IF(AND(S263="Correctivo",T263="Manual"),"25%",""))))))</f>
        <v>40%</v>
      </c>
      <c r="V263" s="170" t="s">
        <v>119</v>
      </c>
      <c r="W263" s="170" t="s">
        <v>115</v>
      </c>
      <c r="X263" s="170" t="s">
        <v>134</v>
      </c>
      <c r="Y263" s="172">
        <f>IFERROR(IF(R263="Probabilidad",(J263-(+J263*U263)),IF(R263="Impacto",J263,"")),"")</f>
        <v>0.12</v>
      </c>
      <c r="Z263" s="173" t="str">
        <f>IFERROR(IF(Y263="","",IF(Y263&lt;=0.2,"Rara vez",IF(Y263&lt;=0.4,"Improbable",IF(Y263&lt;=0.6,"Posible",IF(Y263&lt;=0.8,"Probable","Casi Seguro"))))),"")</f>
        <v>Rara vez</v>
      </c>
      <c r="AA263" s="171">
        <f>+Y263</f>
        <v>0.12</v>
      </c>
      <c r="AB263" s="173" t="str">
        <f>IFERROR(IF(AC263="","",IF(AC263&lt;=0.6,"Moderado",IF(AC263&lt;=0.8,"Mayor","Catastrófico"))),"")</f>
        <v>Catastrófico</v>
      </c>
      <c r="AC263" s="171">
        <f>IFERROR(IF(R263="Impacto",(N263-(+N263*U263)),IF(R263="Probabilidad",N263,"")),"")</f>
        <v>1</v>
      </c>
      <c r="AD263" s="174" t="str">
        <f t="shared" ref="AD263:AD266" si="393">IFERROR(IF(OR(AND(Z263="Rara vez",AB263="Leve"),AND(Z263="Rara vez",AB263="Menor"),AND(Z263="Improbable",AB263="Leve")),"Bajo",IF(OR(AND(Z263="Rara vez",AB263="Moderado"),AND(Z263="Improbable",AB263="Menor"),AND(Z263="Improbable",AB263="Moderado"),AND(Z263="Posible",AB263="Leve"),AND(Z263="Posible",AB263="Menor"),AND(Z263="Posible",AB263="Moderado"),AND(Z263="Probable",AB263="Leve"),AND(Z263="Probable",AB263="Menor")),"Moderado",IF(OR(AND(Z263="Rara vez",AB263="Mayor"),AND(Z263="Improbable",AB263="Mayor"),AND(Z263="Posible",AB263="Mayor"),AND(Z263="Probable",AB263="Moderado"),AND(Z263="Probable",AB263="Mayor"),AND(Z263="Casi Seguro",AB263="Leve"),AND(Z263="Casi Seguro",AB263="Menor"),AND(Z263="Casi Seguro",AB263="Moderado"),AND(Z263="Casi Seguro",AB263="Mayor")),"Alto",IF(OR(AND(Z263="Rara vez",AB263="Catastrófico"),AND(Z263="Improbable",AB263="Catastrófico"),AND(Z263="Posible",AB263="Catastrófico"),AND(Z263="Probable",AB263="Catastrófico"),AND(Z263="Casi Seguro",AB263="Catastrófico")),"Extremo","")))),"")</f>
        <v>Extremo</v>
      </c>
      <c r="AE263" s="170" t="s">
        <v>120</v>
      </c>
      <c r="AF263" s="123"/>
      <c r="AG263" s="123"/>
      <c r="AH263" s="175"/>
      <c r="AI263" s="176"/>
      <c r="AJ263" s="177"/>
      <c r="AK263" s="522"/>
      <c r="AL263" s="534"/>
      <c r="AM263" s="534"/>
      <c r="AN263" s="534"/>
      <c r="AO263" s="534"/>
      <c r="AP263" s="534"/>
      <c r="AQ263" s="534"/>
      <c r="AR263" s="534"/>
      <c r="AS263" s="178"/>
      <c r="AT263" s="178"/>
      <c r="AU263" s="178"/>
      <c r="AV263" s="178"/>
      <c r="AW263" s="178"/>
      <c r="AX263" s="178"/>
      <c r="AY263" s="178"/>
      <c r="AZ263" s="178"/>
      <c r="BA263" s="178"/>
      <c r="BB263" s="178"/>
      <c r="BC263" s="178"/>
      <c r="BD263" s="178"/>
      <c r="BE263" s="178"/>
      <c r="BF263" s="178"/>
      <c r="BG263" s="178"/>
      <c r="BH263" s="178"/>
      <c r="BI263" s="178"/>
      <c r="BJ263" s="178"/>
    </row>
    <row r="264" spans="2:62" s="163" customFormat="1" ht="114.75" x14ac:dyDescent="0.25">
      <c r="B264" s="357" t="s">
        <v>555</v>
      </c>
      <c r="C264" s="311" t="s">
        <v>314</v>
      </c>
      <c r="D264" s="312" t="s">
        <v>556</v>
      </c>
      <c r="E264" s="313" t="s">
        <v>127</v>
      </c>
      <c r="F264" s="313" t="s">
        <v>180</v>
      </c>
      <c r="G264" s="304" t="s">
        <v>337</v>
      </c>
      <c r="H264" s="305" t="s">
        <v>109</v>
      </c>
      <c r="I264" s="306" t="str">
        <f>IF(H264&lt;=0,"",IF(H264="No se ha presentado en los últimos 5 años","Rara vez",IF(H264="Al menos 1 vez en los últimos 5 años","Improbable",IF(H264="Al menos 1 vez en los últimos 2 años","Posible",IF(H264="Al menos 1 vez en el último año","Probable",IF(H264="Más de 1 vez al año","Casi Seguro"))))))</f>
        <v>Rara vez</v>
      </c>
      <c r="J264" s="307">
        <f>IF(I264="","",IF(I264="Rara vez",0.2,IF(I264="Improbable",0.4,IF(I264="Posible",0.6,IF(I264="Probable",0.8,IF(I264="Casi Seguro",1,))))))</f>
        <v>0.2</v>
      </c>
      <c r="K264" s="308" t="s">
        <v>131</v>
      </c>
      <c r="L264" s="307" t="str">
        <f>IF(NOT(ISERROR(MATCH(K264,'Tabla Impacto'!$B$220:$B$222,0))),'Tabla Impacto'!$F$222&amp;"Por favor no seleccionar los criterios de impacto(Criterios para calificar el impacto)",K264)</f>
        <v xml:space="preserve">Responder afirmativamente de DOCE a DIECINUEVE </v>
      </c>
      <c r="M264" s="306" t="str">
        <f>IF(OR(L264='Tabla Impacto'!$C$5),"Moderado",IF(OR(L264='Tabla Impacto'!$C$6),"Mayor",IF(OR(L264='Tabla Impacto'!$C$7),"Catastrófico","")))</f>
        <v>Catastrófico</v>
      </c>
      <c r="N264" s="307">
        <f>IF(M264="","",IF(M264="Leve",0.2,IF(M264="Menor",0.4,IF(M264="Moderado",0.6,IF(M264="Mayor",0.8,IF(M264="Catastrófico",1,))))))</f>
        <v>1</v>
      </c>
      <c r="O264" s="309" t="str">
        <f>IF(OR(AND(I264="Rara vez",M264="Leve"),AND(I264="Rara vez",M264="Menor"),AND(I264="Improbable",M264="Leve")),"Bajo",IF(OR(AND(I264="Rara vez",M264="Moderado"),AND(I264="Improbable",M264="Menor"),AND(I264="Improbable",M264="Moderado"),AND(I264="Posible",M264="Leve"),AND(I264="Posible",M264="Menor"),AND(I264="Posible",M264="Moderado"),AND(I264="Probable",M264="Leve"),AND(I264="Probable",M264="Menor")),"Moderado",IF(OR(AND(I264="Rara vez",M264="Mayor"),AND(I264="Improbable",M264="Mayor"),AND(I264="Posible",M264="Mayor"),AND(I264="Probable",M264="Moderado"),AND(I264="Probable",M264="Mayor"),AND(I264="Casi Seguro",M264="Leve"),AND(I264="Casi Seguro",M264="Menor"),AND(I264="Casi Seguro",M264="Moderado"),AND(I264="Casi Seguro",M264="Mayor")),"Alto",IF(OR(AND(I264="Rara vez",M264="Catastrófico"),AND(I264="Improbable",M264="Catastrófico"),AND(I264="Posible",M264="Catastrófico"),AND(I264="Probable",M264="Catastrófico"),AND(I264="Casi Seguro",M264="Catastrófico")),"Extremo",""))))</f>
        <v>Extremo</v>
      </c>
      <c r="P264" s="168">
        <v>1</v>
      </c>
      <c r="Q264" s="146" t="s">
        <v>557</v>
      </c>
      <c r="R264" s="169" t="str">
        <f>IF(OR(S264="Preventivo",S264="Detectivo"),"Probabilidad",IF(S264="Correctivo","Impacto",""))</f>
        <v>Probabilidad</v>
      </c>
      <c r="S264" s="170" t="s">
        <v>112</v>
      </c>
      <c r="T264" s="170" t="s">
        <v>113</v>
      </c>
      <c r="U264" s="171" t="str">
        <f>IF(AND(S264="Preventivo",T264="Automático"),"50%",IF(AND(S264="Preventivo",T264="Manual"),"40%",IF(AND(S264="Detectivo",T264="Automático"),"40%",IF(AND(S264="Detectivo",T264="Manual"),"30%",IF(AND(S264="Correctivo",T264="Automático"),"35%",IF(AND(S264="Correctivo",T264="Manual"),"25%",""))))))</f>
        <v>40%</v>
      </c>
      <c r="V264" s="170" t="s">
        <v>119</v>
      </c>
      <c r="W264" s="170" t="s">
        <v>115</v>
      </c>
      <c r="X264" s="170" t="s">
        <v>134</v>
      </c>
      <c r="Y264" s="172">
        <f>IFERROR(IF(R264="Probabilidad",(J264-(+J264*U264)),IF(R264="Impacto",J264,"")),"")</f>
        <v>0.12</v>
      </c>
      <c r="Z264" s="173" t="str">
        <f>IFERROR(IF(Y264="","",IF(Y264&lt;=0.2,"Rara vez",IF(Y264&lt;=0.4,"Improbable",IF(Y264&lt;=0.6,"Posible",IF(Y264&lt;=0.8,"Probable","Casi Seguro"))))),"")</f>
        <v>Rara vez</v>
      </c>
      <c r="AA264" s="171">
        <f>+Y264</f>
        <v>0.12</v>
      </c>
      <c r="AB264" s="173" t="str">
        <f>IFERROR(IF(AC264="","",IF(AC264&lt;=0.6,"Moderado",IF(AC264&lt;=0.8,"Mayor","Catastrófico"))),"")</f>
        <v>Catastrófico</v>
      </c>
      <c r="AC264" s="171">
        <f>IFERROR(IF(R264="Impacto",(N264-(+N264*U264)),IF(R264="Probabilidad",N264,"")),"")</f>
        <v>1</v>
      </c>
      <c r="AD264" s="174" t="str">
        <f t="shared" si="393"/>
        <v>Extremo</v>
      </c>
      <c r="AE264" s="170"/>
      <c r="AF264" s="123"/>
      <c r="AG264" s="123"/>
      <c r="AH264" s="175"/>
      <c r="AI264" s="176"/>
      <c r="AJ264" s="177"/>
      <c r="AK264" s="522"/>
      <c r="AL264" s="534"/>
      <c r="AM264" s="534"/>
      <c r="AN264" s="534"/>
      <c r="AO264" s="534"/>
      <c r="AP264" s="534"/>
      <c r="AQ264" s="534"/>
      <c r="AR264" s="534"/>
      <c r="AS264" s="178"/>
      <c r="AT264" s="178"/>
      <c r="AU264" s="178"/>
      <c r="AV264" s="178"/>
      <c r="AW264" s="178"/>
      <c r="AX264" s="178"/>
      <c r="AY264" s="178"/>
      <c r="AZ264" s="178"/>
      <c r="BA264" s="178"/>
      <c r="BB264" s="178"/>
      <c r="BC264" s="178"/>
      <c r="BD264" s="178"/>
      <c r="BE264" s="178"/>
      <c r="BF264" s="178"/>
      <c r="BG264" s="178"/>
      <c r="BH264" s="178"/>
      <c r="BI264" s="178"/>
      <c r="BJ264" s="178"/>
    </row>
    <row r="265" spans="2:62" ht="89.25" x14ac:dyDescent="0.2">
      <c r="B265" s="310"/>
      <c r="C265" s="311"/>
      <c r="D265" s="312"/>
      <c r="E265" s="313"/>
      <c r="F265" s="313"/>
      <c r="G265" s="304"/>
      <c r="H265" s="305"/>
      <c r="I265" s="306"/>
      <c r="J265" s="307"/>
      <c r="K265" s="308"/>
      <c r="L265" s="307">
        <f>IF(NOT(ISERROR(MATCH(K265,_xlfn.ANCHORARRAY(G515),0))),J517&amp;"Por favor no seleccionar los criterios de impacto",K265)</f>
        <v>0</v>
      </c>
      <c r="M265" s="306"/>
      <c r="N265" s="307"/>
      <c r="O265" s="309"/>
      <c r="P265" s="168">
        <v>2</v>
      </c>
      <c r="Q265" s="146" t="s">
        <v>558</v>
      </c>
      <c r="R265" s="169" t="str">
        <f>IF(OR(S265="Preventivo",S265="Detectivo"),"Probabilidad",IF(S265="Correctivo","Impacto",""))</f>
        <v>Probabilidad</v>
      </c>
      <c r="S265" s="170" t="s">
        <v>133</v>
      </c>
      <c r="T265" s="170" t="s">
        <v>113</v>
      </c>
      <c r="U265" s="171" t="str">
        <f t="shared" ref="U265:U266" si="394">IF(AND(S265="Preventivo",T265="Automático"),"50%",IF(AND(S265="Preventivo",T265="Manual"),"40%",IF(AND(S265="Detectivo",T265="Automático"),"40%",IF(AND(S265="Detectivo",T265="Manual"),"30%",IF(AND(S265="Correctivo",T265="Automático"),"35%",IF(AND(S265="Correctivo",T265="Manual"),"25%",""))))))</f>
        <v>30%</v>
      </c>
      <c r="V265" s="170" t="s">
        <v>119</v>
      </c>
      <c r="W265" s="170" t="s">
        <v>115</v>
      </c>
      <c r="X265" s="170" t="s">
        <v>134</v>
      </c>
      <c r="Y265" s="172">
        <f>IFERROR(IF(AND(R264="Probabilidad",R265="Probabilidad"),(AA264-(+AA264*U265)),IF(R265="Probabilidad",(J264-(+J264*U265)),IF(R265="Impacto",AA264,""))),"")</f>
        <v>8.3999999999999991E-2</v>
      </c>
      <c r="Z265" s="173" t="str">
        <f t="shared" ref="Z265:Z266" si="395">IFERROR(IF(Y265="","",IF(Y265&lt;=0.2,"Rara vez",IF(Y265&lt;=0.4,"Improbable",IF(Y265&lt;=0.6,"Posible",IF(Y265&lt;=0.8,"Probable","Casi Seguro"))))),"")</f>
        <v>Rara vez</v>
      </c>
      <c r="AA265" s="171">
        <f t="shared" ref="AA265:AA266" si="396">+Y265</f>
        <v>8.3999999999999991E-2</v>
      </c>
      <c r="AB265" s="173" t="str">
        <f t="shared" ref="AB265:AB266" si="397">IFERROR(IF(AC265="","",IF(AC265&lt;=0.6,"Moderado",IF(AC265&lt;=0.8,"Mayor","Catastrófico"))),"")</f>
        <v>Catastrófico</v>
      </c>
      <c r="AC265" s="171">
        <f>IFERROR(IF(AND(R264="Impacto",R265="Impacto"),(AC264-(+AC264*U265)),IF(R265="Impacto",(N264-(+N264*U265)),IF(R265="Probabilidad",AC264,""))),"")</f>
        <v>1</v>
      </c>
      <c r="AD265" s="174" t="str">
        <f t="shared" si="393"/>
        <v>Extremo</v>
      </c>
      <c r="AE265" s="170"/>
      <c r="AF265" s="132"/>
      <c r="AG265" s="194"/>
      <c r="AH265" s="195"/>
      <c r="AI265" s="176"/>
      <c r="AJ265" s="181"/>
      <c r="AK265" s="522"/>
      <c r="AL265" s="535"/>
      <c r="AM265" s="535"/>
      <c r="AN265" s="535"/>
      <c r="AO265" s="535"/>
      <c r="AP265" s="535"/>
      <c r="AQ265" s="535"/>
      <c r="AR265" s="535"/>
      <c r="AS265" s="158"/>
      <c r="AT265" s="158"/>
      <c r="AU265" s="158"/>
      <c r="AV265" s="158"/>
      <c r="AW265" s="158"/>
      <c r="AX265" s="158"/>
      <c r="AY265" s="158"/>
      <c r="AZ265" s="158"/>
      <c r="BA265" s="158"/>
      <c r="BB265" s="158"/>
      <c r="BC265" s="158"/>
      <c r="BD265" s="158"/>
      <c r="BE265" s="158"/>
      <c r="BF265" s="158"/>
      <c r="BG265" s="158"/>
      <c r="BH265" s="158"/>
      <c r="BI265" s="158"/>
      <c r="BJ265" s="158"/>
    </row>
    <row r="266" spans="2:62" ht="76.5" x14ac:dyDescent="0.2">
      <c r="B266" s="310"/>
      <c r="C266" s="311"/>
      <c r="D266" s="312"/>
      <c r="E266" s="313"/>
      <c r="F266" s="313"/>
      <c r="G266" s="304"/>
      <c r="H266" s="305"/>
      <c r="I266" s="306"/>
      <c r="J266" s="307"/>
      <c r="K266" s="308"/>
      <c r="L266" s="307">
        <f>IF(NOT(ISERROR(MATCH(K266,_xlfn.ANCHORARRAY(G516),0))),J518&amp;"Por favor no seleccionar los criterios de impacto",K266)</f>
        <v>0</v>
      </c>
      <c r="M266" s="306"/>
      <c r="N266" s="307"/>
      <c r="O266" s="309"/>
      <c r="P266" s="168">
        <v>3</v>
      </c>
      <c r="Q266" s="146" t="s">
        <v>559</v>
      </c>
      <c r="R266" s="169" t="s">
        <v>118</v>
      </c>
      <c r="S266" s="170" t="s">
        <v>133</v>
      </c>
      <c r="T266" s="170" t="s">
        <v>113</v>
      </c>
      <c r="U266" s="171" t="str">
        <f t="shared" si="394"/>
        <v>30%</v>
      </c>
      <c r="V266" s="170" t="s">
        <v>119</v>
      </c>
      <c r="W266" s="170" t="s">
        <v>115</v>
      </c>
      <c r="X266" s="170" t="s">
        <v>134</v>
      </c>
      <c r="Y266" s="172">
        <f>IFERROR(IF(AND(R265="Probabilidad",R266="Probabilidad"),(AA265-(+AA265*U266)),IF(AND(R265="Impacto",R266="Probabilidad"),(AA264-(+AA264*U266)),IF(R266="Impacto",AA265,""))),"")</f>
        <v>5.8799999999999991E-2</v>
      </c>
      <c r="Z266" s="173" t="str">
        <f t="shared" si="395"/>
        <v>Rara vez</v>
      </c>
      <c r="AA266" s="171">
        <f t="shared" si="396"/>
        <v>5.8799999999999991E-2</v>
      </c>
      <c r="AB266" s="173" t="str">
        <f t="shared" si="397"/>
        <v>Catastrófico</v>
      </c>
      <c r="AC266" s="171">
        <f>IFERROR(IF(AND(R265="Impacto",R266="Impacto"),(AC265-(+AC265*U266)),IF(AND(R265="Probabilidad",R266="Impacto"),(AC264-(+AC264*U266)),IF(R266="Probabilidad",AC265,""))),"")</f>
        <v>1</v>
      </c>
      <c r="AD266" s="174" t="str">
        <f t="shared" si="393"/>
        <v>Extremo</v>
      </c>
      <c r="AE266" s="196" t="s">
        <v>120</v>
      </c>
      <c r="AF266" s="136"/>
      <c r="AG266" s="203"/>
      <c r="AH266" s="202"/>
      <c r="AI266" s="187"/>
      <c r="AJ266" s="188"/>
      <c r="AK266" s="523"/>
      <c r="AL266" s="535"/>
      <c r="AM266" s="535"/>
      <c r="AN266" s="535"/>
      <c r="AO266" s="535"/>
      <c r="AP266" s="535"/>
      <c r="AQ266" s="535"/>
      <c r="AR266" s="535"/>
      <c r="AS266" s="158"/>
      <c r="AT266" s="158"/>
      <c r="AU266" s="158"/>
      <c r="AV266" s="158"/>
      <c r="AW266" s="158"/>
      <c r="AX266" s="158"/>
      <c r="AY266" s="158"/>
      <c r="AZ266" s="158"/>
      <c r="BA266" s="158"/>
      <c r="BB266" s="158"/>
      <c r="BC266" s="158"/>
      <c r="BD266" s="158"/>
      <c r="BE266" s="158"/>
      <c r="BF266" s="158"/>
      <c r="BG266" s="158"/>
      <c r="BH266" s="158"/>
      <c r="BI266" s="158"/>
      <c r="BJ266" s="158"/>
    </row>
    <row r="267" spans="2:62" s="163" customFormat="1" ht="76.5" x14ac:dyDescent="0.25">
      <c r="B267" s="357" t="s">
        <v>560</v>
      </c>
      <c r="C267" s="311" t="s">
        <v>314</v>
      </c>
      <c r="D267" s="312" t="s">
        <v>335</v>
      </c>
      <c r="E267" s="313" t="s">
        <v>127</v>
      </c>
      <c r="F267" s="313" t="s">
        <v>336</v>
      </c>
      <c r="G267" s="304" t="s">
        <v>561</v>
      </c>
      <c r="H267" s="305" t="s">
        <v>109</v>
      </c>
      <c r="I267" s="306" t="str">
        <f>IF(H267&lt;=0,"",IF(H267="No se ha presentado en los últimos 5 años","Rara vez",IF(H267="Al menos 1 vez en los últimos 5 años","Improbable",IF(H267="Al menos 1 vez en los últimos 2 años","Posible",IF(H267="Al menos 1 vez en el último año","Probable",IF(H267="Más de 1 vez al año","Casi Seguro"))))))</f>
        <v>Rara vez</v>
      </c>
      <c r="J267" s="307">
        <f>IF(I267="","",IF(I267="Rara vez",0.2,IF(I267="Improbable",0.4,IF(I267="Posible",0.6,IF(I267="Probable",0.8,IF(I267="Casi Seguro",1,))))))</f>
        <v>0.2</v>
      </c>
      <c r="K267" s="308" t="s">
        <v>131</v>
      </c>
      <c r="L267" s="307" t="str">
        <f>IF(NOT(ISERROR(MATCH(K267,'Tabla Impacto'!$B$220:$B$222,0))),'Tabla Impacto'!$F$222&amp;"Por favor no seleccionar los criterios de impacto(Criterios para calificar el impacto)",K267)</f>
        <v xml:space="preserve">Responder afirmativamente de DOCE a DIECINUEVE </v>
      </c>
      <c r="M267" s="306" t="str">
        <f>IF(OR(L267='Tabla Impacto'!$C$5),"Moderado",IF(OR(L267='Tabla Impacto'!$C$6),"Mayor",IF(OR(L267='Tabla Impacto'!$C$7),"Catastrófico","")))</f>
        <v>Catastrófico</v>
      </c>
      <c r="N267" s="307">
        <f>IF(M267="","",IF(M267="Leve",0.2,IF(M267="Menor",0.4,IF(M267="Moderado",0.6,IF(M267="Mayor",0.8,IF(M267="Catastrófico",1,))))))</f>
        <v>1</v>
      </c>
      <c r="O267" s="309" t="str">
        <f>IF(OR(AND(I267="Rara vez",M267="Leve"),AND(I267="Rara vez",M267="Menor"),AND(I267="Improbable",M267="Leve")),"Bajo",IF(OR(AND(I267="Rara vez",M267="Moderado"),AND(I267="Improbable",M267="Menor"),AND(I267="Improbable",M267="Moderado"),AND(I267="Posible",M267="Leve"),AND(I267="Posible",M267="Menor"),AND(I267="Posible",M267="Moderado"),AND(I267="Probable",M267="Leve"),AND(I267="Probable",M267="Menor")),"Moderado",IF(OR(AND(I267="Rara vez",M267="Mayor"),AND(I267="Improbable",M267="Mayor"),AND(I267="Posible",M267="Mayor"),AND(I267="Probable",M267="Moderado"),AND(I267="Probable",M267="Mayor"),AND(I267="Casi Seguro",M267="Leve"),AND(I267="Casi Seguro",M267="Menor"),AND(I267="Casi Seguro",M267="Moderado"),AND(I267="Casi Seguro",M267="Mayor")),"Alto",IF(OR(AND(I267="Rara vez",M267="Catastrófico"),AND(I267="Improbable",M267="Catastrófico"),AND(I267="Posible",M267="Catastrófico"),AND(I267="Probable",M267="Catastrófico"),AND(I267="Casi Seguro",M267="Catastrófico")),"Extremo",""))))</f>
        <v>Extremo</v>
      </c>
      <c r="P267" s="168">
        <v>1</v>
      </c>
      <c r="Q267" s="147" t="s">
        <v>562</v>
      </c>
      <c r="R267" s="169" t="str">
        <f t="shared" ref="R267:R272" si="398">IF(OR(S267="Preventivo",S267="Detectivo"),"Probabilidad",IF(S267="Correctivo","Impacto",""))</f>
        <v>Probabilidad</v>
      </c>
      <c r="S267" s="170" t="s">
        <v>112</v>
      </c>
      <c r="T267" s="170" t="s">
        <v>113</v>
      </c>
      <c r="U267" s="171" t="str">
        <f>IF(AND(S267="Preventivo",T267="Automático"),"50%",IF(AND(S267="Preventivo",T267="Manual"),"40%",IF(AND(S267="Detectivo",T267="Automático"),"40%",IF(AND(S267="Detectivo",T267="Manual"),"30%",IF(AND(S267="Correctivo",T267="Automático"),"35%",IF(AND(S267="Correctivo",T267="Manual"),"25%",""))))))</f>
        <v>40%</v>
      </c>
      <c r="V267" s="170" t="s">
        <v>119</v>
      </c>
      <c r="W267" s="170" t="s">
        <v>115</v>
      </c>
      <c r="X267" s="170" t="s">
        <v>116</v>
      </c>
      <c r="Y267" s="172">
        <f>IFERROR(IF(R267="Probabilidad",(J267-(+J267*U267)),IF(R267="Impacto",J267,"")),"")</f>
        <v>0.12</v>
      </c>
      <c r="Z267" s="173" t="str">
        <f>IFERROR(IF(Y267="","",IF(Y267&lt;=0.2,"Rara vez",IF(Y267&lt;=0.4,"Improbable",IF(Y267&lt;=0.6,"Posible",IF(Y267&lt;=0.8,"Probable","Casi Seguro"))))),"")</f>
        <v>Rara vez</v>
      </c>
      <c r="AA267" s="171">
        <f>+Y267</f>
        <v>0.12</v>
      </c>
      <c r="AB267" s="173" t="str">
        <f>IFERROR(IF(AC267="","",IF(AC267&lt;=0.6,"Moderado",IF(AC267&lt;=0.8,"Mayor","Catastrófico"))),"")</f>
        <v>Catastrófico</v>
      </c>
      <c r="AC267" s="171">
        <f>IFERROR(IF(R267="Impacto",(N267-(+N267*U267)),IF(R267="Probabilidad",N267,"")),"")</f>
        <v>1</v>
      </c>
      <c r="AD267" s="174" t="str">
        <f t="shared" ref="AD267:AD268" si="399">IFERROR(IF(OR(AND(Z267="Rara vez",AB267="Leve"),AND(Z267="Rara vez",AB267="Menor"),AND(Z267="Improbable",AB267="Leve")),"Bajo",IF(OR(AND(Z267="Rara vez",AB267="Moderado"),AND(Z267="Improbable",AB267="Menor"),AND(Z267="Improbable",AB267="Moderado"),AND(Z267="Posible",AB267="Leve"),AND(Z267="Posible",AB267="Menor"),AND(Z267="Posible",AB267="Moderado"),AND(Z267="Probable",AB267="Leve"),AND(Z267="Probable",AB267="Menor")),"Moderado",IF(OR(AND(Z267="Rara vez",AB267="Mayor"),AND(Z267="Improbable",AB267="Mayor"),AND(Z267="Posible",AB267="Mayor"),AND(Z267="Probable",AB267="Moderado"),AND(Z267="Probable",AB267="Mayor"),AND(Z267="Casi Seguro",AB267="Leve"),AND(Z267="Casi Seguro",AB267="Menor"),AND(Z267="Casi Seguro",AB267="Moderado"),AND(Z267="Casi Seguro",AB267="Mayor")),"Alto",IF(OR(AND(Z267="Rara vez",AB267="Catastrófico"),AND(Z267="Improbable",AB267="Catastrófico"),AND(Z267="Posible",AB267="Catastrófico"),AND(Z267="Probable",AB267="Catastrófico"),AND(Z267="Casi Seguro",AB267="Catastrófico")),"Extremo","")))),"")</f>
        <v>Extremo</v>
      </c>
      <c r="AE267" s="170"/>
      <c r="AF267" s="123"/>
      <c r="AG267" s="123"/>
      <c r="AH267" s="175"/>
      <c r="AI267" s="176"/>
      <c r="AJ267" s="177"/>
      <c r="AK267" s="522"/>
      <c r="AL267" s="534"/>
      <c r="AM267" s="534"/>
      <c r="AN267" s="534"/>
      <c r="AO267" s="534"/>
      <c r="AP267" s="534"/>
      <c r="AQ267" s="534"/>
      <c r="AR267" s="534"/>
      <c r="AS267" s="178"/>
      <c r="AT267" s="178"/>
      <c r="AU267" s="178"/>
      <c r="AV267" s="178"/>
      <c r="AW267" s="178"/>
      <c r="AX267" s="178"/>
      <c r="AY267" s="178"/>
      <c r="AZ267" s="178"/>
      <c r="BA267" s="178"/>
      <c r="BB267" s="178"/>
      <c r="BC267" s="178"/>
      <c r="BD267" s="178"/>
      <c r="BE267" s="178"/>
      <c r="BF267" s="178"/>
      <c r="BG267" s="178"/>
      <c r="BH267" s="178"/>
      <c r="BI267" s="178"/>
      <c r="BJ267" s="178"/>
    </row>
    <row r="268" spans="2:62" ht="76.5" x14ac:dyDescent="0.2">
      <c r="B268" s="310"/>
      <c r="C268" s="311"/>
      <c r="D268" s="312"/>
      <c r="E268" s="313"/>
      <c r="F268" s="313"/>
      <c r="G268" s="304"/>
      <c r="H268" s="305"/>
      <c r="I268" s="306"/>
      <c r="J268" s="307"/>
      <c r="K268" s="308"/>
      <c r="L268" s="307">
        <f>IF(NOT(ISERROR(MATCH(K268,_xlfn.ANCHORARRAY(G518),0))),J520&amp;"Por favor no seleccionar los criterios de impacto",K268)</f>
        <v>0</v>
      </c>
      <c r="M268" s="306"/>
      <c r="N268" s="307"/>
      <c r="O268" s="309"/>
      <c r="P268" s="168">
        <v>2</v>
      </c>
      <c r="Q268" s="129" t="s">
        <v>563</v>
      </c>
      <c r="R268" s="169" t="str">
        <f t="shared" si="398"/>
        <v>Probabilidad</v>
      </c>
      <c r="S268" s="170" t="s">
        <v>133</v>
      </c>
      <c r="T268" s="170" t="s">
        <v>113</v>
      </c>
      <c r="U268" s="171" t="str">
        <f t="shared" ref="U268" si="400">IF(AND(S268="Preventivo",T268="Automático"),"50%",IF(AND(S268="Preventivo",T268="Manual"),"40%",IF(AND(S268="Detectivo",T268="Automático"),"40%",IF(AND(S268="Detectivo",T268="Manual"),"30%",IF(AND(S268="Correctivo",T268="Automático"),"35%",IF(AND(S268="Correctivo",T268="Manual"),"25%",""))))))</f>
        <v>30%</v>
      </c>
      <c r="V268" s="170" t="s">
        <v>119</v>
      </c>
      <c r="W268" s="170" t="s">
        <v>115</v>
      </c>
      <c r="X268" s="170" t="s">
        <v>116</v>
      </c>
      <c r="Y268" s="172">
        <f>IFERROR(IF(AND(R267="Probabilidad",R268="Probabilidad"),(AA267-(+AA267*U268)),IF(R268="Probabilidad",(J267-(+J267*U268)),IF(R268="Impacto",AA267,""))),"")</f>
        <v>8.3999999999999991E-2</v>
      </c>
      <c r="Z268" s="173" t="str">
        <f t="shared" ref="Z268" si="401">IFERROR(IF(Y268="","",IF(Y268&lt;=0.2,"Rara vez",IF(Y268&lt;=0.4,"Improbable",IF(Y268&lt;=0.6,"Posible",IF(Y268&lt;=0.8,"Probable","Casi Seguro"))))),"")</f>
        <v>Rara vez</v>
      </c>
      <c r="AA268" s="171">
        <f t="shared" ref="AA268" si="402">+Y268</f>
        <v>8.3999999999999991E-2</v>
      </c>
      <c r="AB268" s="173" t="str">
        <f t="shared" ref="AB268" si="403">IFERROR(IF(AC268="","",IF(AC268&lt;=0.6,"Moderado",IF(AC268&lt;=0.8,"Mayor","Catastrófico"))),"")</f>
        <v>Catastrófico</v>
      </c>
      <c r="AC268" s="171">
        <f>IFERROR(IF(AND(R267="Impacto",R268="Impacto"),(AC267-(+AC267*U268)),IF(R268="Impacto",(N267-(+N267*U268)),IF(R268="Probabilidad",AC267,""))),"")</f>
        <v>1</v>
      </c>
      <c r="AD268" s="174" t="str">
        <f t="shared" si="399"/>
        <v>Extremo</v>
      </c>
      <c r="AE268" s="170" t="s">
        <v>120</v>
      </c>
      <c r="AF268" s="132"/>
      <c r="AG268" s="194"/>
      <c r="AH268" s="195"/>
      <c r="AI268" s="176"/>
      <c r="AJ268" s="181"/>
      <c r="AK268" s="522"/>
      <c r="AL268" s="535"/>
      <c r="AM268" s="535"/>
      <c r="AN268" s="535"/>
      <c r="AO268" s="535"/>
      <c r="AP268" s="535"/>
      <c r="AQ268" s="535"/>
      <c r="AR268" s="535"/>
      <c r="AS268" s="158"/>
      <c r="AT268" s="158"/>
      <c r="AU268" s="158"/>
      <c r="AV268" s="158"/>
      <c r="AW268" s="158"/>
      <c r="AX268" s="158"/>
      <c r="AY268" s="158"/>
      <c r="AZ268" s="158"/>
      <c r="BA268" s="158"/>
      <c r="BB268" s="158"/>
      <c r="BC268" s="158"/>
      <c r="BD268" s="158"/>
      <c r="BE268" s="158"/>
      <c r="BF268" s="158"/>
      <c r="BG268" s="158"/>
      <c r="BH268" s="158"/>
      <c r="BI268" s="158"/>
      <c r="BJ268" s="158"/>
    </row>
    <row r="269" spans="2:62" s="163" customFormat="1" ht="89.25" x14ac:dyDescent="0.25">
      <c r="B269" s="357" t="s">
        <v>564</v>
      </c>
      <c r="C269" s="311" t="s">
        <v>314</v>
      </c>
      <c r="D269" s="312" t="s">
        <v>344</v>
      </c>
      <c r="E269" s="313" t="s">
        <v>127</v>
      </c>
      <c r="F269" s="313" t="s">
        <v>170</v>
      </c>
      <c r="G269" s="304" t="s">
        <v>337</v>
      </c>
      <c r="H269" s="305" t="s">
        <v>224</v>
      </c>
      <c r="I269" s="306" t="str">
        <f>IF(H269&lt;=0,"",IF(H269="No se ha presentado en los últimos 5 años","Rara vez",IF(H269="Al menos 1 vez en los últimos 5 años","Improbable",IF(H269="Al menos 1 vez en los últimos 2 años","Posible",IF(H269="Al menos 1 vez en el último año","Probable",IF(H269="Más de 1 vez al año","Casi Seguro"))))))</f>
        <v>Posible</v>
      </c>
      <c r="J269" s="307">
        <f>IF(I269="","",IF(I269="Rara vez",0.2,IF(I269="Improbable",0.4,IF(I269="Posible",0.6,IF(I269="Probable",0.8,IF(I269="Casi Seguro",1,))))))</f>
        <v>0.6</v>
      </c>
      <c r="K269" s="308" t="s">
        <v>131</v>
      </c>
      <c r="L269" s="307" t="str">
        <f>IF(NOT(ISERROR(MATCH(K269,'Tabla Impacto'!$B$220:$B$222,0))),'Tabla Impacto'!$F$222&amp;"Por favor no seleccionar los criterios de impacto(Criterios para calificar el impacto)",K269)</f>
        <v xml:space="preserve">Responder afirmativamente de DOCE a DIECINUEVE </v>
      </c>
      <c r="M269" s="306" t="str">
        <f>IF(OR(L269='Tabla Impacto'!$C$5),"Moderado",IF(OR(L269='Tabla Impacto'!$C$6),"Mayor",IF(OR(L269='Tabla Impacto'!$C$7),"Catastrófico","")))</f>
        <v>Catastrófico</v>
      </c>
      <c r="N269" s="307">
        <f>IF(M269="","",IF(M269="Leve",0.2,IF(M269="Menor",0.4,IF(M269="Moderado",0.6,IF(M269="Mayor",0.8,IF(M269="Catastrófico",1,))))))</f>
        <v>1</v>
      </c>
      <c r="O269" s="309" t="str">
        <f>IF(OR(AND(I269="Rara vez",M269="Leve"),AND(I269="Rara vez",M269="Menor"),AND(I269="Improbable",M269="Leve")),"Bajo",IF(OR(AND(I269="Rara vez",M269="Moderado"),AND(I269="Improbable",M269="Menor"),AND(I269="Improbable",M269="Moderado"),AND(I269="Posible",M269="Leve"),AND(I269="Posible",M269="Menor"),AND(I269="Posible",M269="Moderado"),AND(I269="Probable",M269="Leve"),AND(I269="Probable",M269="Menor")),"Moderado",IF(OR(AND(I269="Rara vez",M269="Mayor"),AND(I269="Improbable",M269="Mayor"),AND(I269="Posible",M269="Mayor"),AND(I269="Probable",M269="Moderado"),AND(I269="Probable",M269="Mayor"),AND(I269="Casi Seguro",M269="Leve"),AND(I269="Casi Seguro",M269="Menor"),AND(I269="Casi Seguro",M269="Moderado"),AND(I269="Casi Seguro",M269="Mayor")),"Alto",IF(OR(AND(I269="Rara vez",M269="Catastrófico"),AND(I269="Improbable",M269="Catastrófico"),AND(I269="Posible",M269="Catastrófico"),AND(I269="Probable",M269="Catastrófico"),AND(I269="Casi Seguro",M269="Catastrófico")),"Extremo",""))))</f>
        <v>Extremo</v>
      </c>
      <c r="P269" s="168">
        <v>1</v>
      </c>
      <c r="Q269" s="147" t="s">
        <v>565</v>
      </c>
      <c r="R269" s="169" t="str">
        <f t="shared" si="398"/>
        <v>Probabilidad</v>
      </c>
      <c r="S269" s="170" t="s">
        <v>112</v>
      </c>
      <c r="T269" s="170" t="s">
        <v>113</v>
      </c>
      <c r="U269" s="171" t="str">
        <f>IF(AND(S269="Preventivo",T269="Automático"),"50%",IF(AND(S269="Preventivo",T269="Manual"),"40%",IF(AND(S269="Detectivo",T269="Automático"),"40%",IF(AND(S269="Detectivo",T269="Manual"),"30%",IF(AND(S269="Correctivo",T269="Automático"),"35%",IF(AND(S269="Correctivo",T269="Manual"),"25%",""))))))</f>
        <v>40%</v>
      </c>
      <c r="V269" s="170" t="s">
        <v>119</v>
      </c>
      <c r="W269" s="170" t="s">
        <v>115</v>
      </c>
      <c r="X269" s="170" t="s">
        <v>116</v>
      </c>
      <c r="Y269" s="172">
        <f>IFERROR(IF(R269="Probabilidad",(J269-(+J269*U269)),IF(R269="Impacto",J269,"")),"")</f>
        <v>0.36</v>
      </c>
      <c r="Z269" s="173" t="str">
        <f>IFERROR(IF(Y269="","",IF(Y269&lt;=0.2,"Rara vez",IF(Y269&lt;=0.4,"Improbable",IF(Y269&lt;=0.6,"Posible",IF(Y269&lt;=0.8,"Probable","Casi Seguro"))))),"")</f>
        <v>Improbable</v>
      </c>
      <c r="AA269" s="171">
        <f>+Y269</f>
        <v>0.36</v>
      </c>
      <c r="AB269" s="173" t="str">
        <f>IFERROR(IF(AC269="","",IF(AC269&lt;=0.6,"Moderado",IF(AC269&lt;=0.8,"Mayor","Catastrófico"))),"")</f>
        <v>Catastrófico</v>
      </c>
      <c r="AC269" s="171">
        <f>IFERROR(IF(R269="Impacto",(N269-(+N269*U269)),IF(R269="Probabilidad",N269,"")),"")</f>
        <v>1</v>
      </c>
      <c r="AD269" s="174" t="str">
        <f t="shared" ref="AD269:AD273" si="404">IFERROR(IF(OR(AND(Z269="Rara vez",AB269="Leve"),AND(Z269="Rara vez",AB269="Menor"),AND(Z269="Improbable",AB269="Leve")),"Bajo",IF(OR(AND(Z269="Rara vez",AB269="Moderado"),AND(Z269="Improbable",AB269="Menor"),AND(Z269="Improbable",AB269="Moderado"),AND(Z269="Posible",AB269="Leve"),AND(Z269="Posible",AB269="Menor"),AND(Z269="Posible",AB269="Moderado"),AND(Z269="Probable",AB269="Leve"),AND(Z269="Probable",AB269="Menor")),"Moderado",IF(OR(AND(Z269="Rara vez",AB269="Mayor"),AND(Z269="Improbable",AB269="Mayor"),AND(Z269="Posible",AB269="Mayor"),AND(Z269="Probable",AB269="Moderado"),AND(Z269="Probable",AB269="Mayor"),AND(Z269="Casi Seguro",AB269="Leve"),AND(Z269="Casi Seguro",AB269="Menor"),AND(Z269="Casi Seguro",AB269="Moderado"),AND(Z269="Casi Seguro",AB269="Mayor")),"Alto",IF(OR(AND(Z269="Rara vez",AB269="Catastrófico"),AND(Z269="Improbable",AB269="Catastrófico"),AND(Z269="Posible",AB269="Catastrófico"),AND(Z269="Probable",AB269="Catastrófico"),AND(Z269="Casi Seguro",AB269="Catastrófico")),"Extremo","")))),"")</f>
        <v>Extremo</v>
      </c>
      <c r="AE269" s="170"/>
      <c r="AF269" s="123"/>
      <c r="AG269" s="123"/>
      <c r="AH269" s="175"/>
      <c r="AI269" s="176"/>
      <c r="AJ269" s="177"/>
      <c r="AK269" s="522"/>
      <c r="AL269" s="534"/>
      <c r="AM269" s="534"/>
      <c r="AN269" s="534"/>
      <c r="AO269" s="534"/>
      <c r="AP269" s="534"/>
      <c r="AQ269" s="534"/>
      <c r="AR269" s="534"/>
      <c r="AS269" s="178"/>
      <c r="AT269" s="178"/>
      <c r="AU269" s="178"/>
      <c r="AV269" s="178"/>
      <c r="AW269" s="178"/>
      <c r="AX269" s="178"/>
      <c r="AY269" s="178"/>
      <c r="AZ269" s="178"/>
      <c r="BA269" s="178"/>
      <c r="BB269" s="178"/>
      <c r="BC269" s="178"/>
      <c r="BD269" s="178"/>
      <c r="BE269" s="178"/>
      <c r="BF269" s="178"/>
      <c r="BG269" s="178"/>
      <c r="BH269" s="178"/>
      <c r="BI269" s="178"/>
      <c r="BJ269" s="178"/>
    </row>
    <row r="270" spans="2:62" ht="89.25" x14ac:dyDescent="0.2">
      <c r="B270" s="310"/>
      <c r="C270" s="311"/>
      <c r="D270" s="312"/>
      <c r="E270" s="313"/>
      <c r="F270" s="313"/>
      <c r="G270" s="304"/>
      <c r="H270" s="305"/>
      <c r="I270" s="306"/>
      <c r="J270" s="307"/>
      <c r="K270" s="308"/>
      <c r="L270" s="307">
        <f>IF(NOT(ISERROR(MATCH(K270,_xlfn.ANCHORARRAY(G520),0))),J522&amp;"Por favor no seleccionar los criterios de impacto",K270)</f>
        <v>0</v>
      </c>
      <c r="M270" s="306"/>
      <c r="N270" s="307"/>
      <c r="O270" s="309"/>
      <c r="P270" s="168">
        <v>2</v>
      </c>
      <c r="Q270" s="148" t="s">
        <v>566</v>
      </c>
      <c r="R270" s="169" t="str">
        <f t="shared" si="398"/>
        <v>Probabilidad</v>
      </c>
      <c r="S270" s="170" t="s">
        <v>133</v>
      </c>
      <c r="T270" s="170" t="s">
        <v>113</v>
      </c>
      <c r="U270" s="171" t="str">
        <f t="shared" ref="U270" si="405">IF(AND(S270="Preventivo",T270="Automático"),"50%",IF(AND(S270="Preventivo",T270="Manual"),"40%",IF(AND(S270="Detectivo",T270="Automático"),"40%",IF(AND(S270="Detectivo",T270="Manual"),"30%",IF(AND(S270="Correctivo",T270="Automático"),"35%",IF(AND(S270="Correctivo",T270="Manual"),"25%",""))))))</f>
        <v>30%</v>
      </c>
      <c r="V270" s="170" t="s">
        <v>119</v>
      </c>
      <c r="W270" s="170" t="s">
        <v>115</v>
      </c>
      <c r="X270" s="170" t="s">
        <v>116</v>
      </c>
      <c r="Y270" s="172">
        <f>IFERROR(IF(AND(R269="Probabilidad",R270="Probabilidad"),(AA269-(+AA269*U270)),IF(R270="Probabilidad",(J269-(+J269*U270)),IF(R270="Impacto",AA269,""))),"")</f>
        <v>0.252</v>
      </c>
      <c r="Z270" s="173" t="str">
        <f t="shared" ref="Z270" si="406">IFERROR(IF(Y270="","",IF(Y270&lt;=0.2,"Rara vez",IF(Y270&lt;=0.4,"Improbable",IF(Y270&lt;=0.6,"Posible",IF(Y270&lt;=0.8,"Probable","Casi Seguro"))))),"")</f>
        <v>Improbable</v>
      </c>
      <c r="AA270" s="171">
        <f t="shared" ref="AA270" si="407">+Y270</f>
        <v>0.252</v>
      </c>
      <c r="AB270" s="173" t="str">
        <f t="shared" ref="AB270" si="408">IFERROR(IF(AC270="","",IF(AC270&lt;=0.6,"Moderado",IF(AC270&lt;=0.8,"Mayor","Catastrófico"))),"")</f>
        <v>Catastrófico</v>
      </c>
      <c r="AC270" s="171">
        <f>IFERROR(IF(AND(R269="Impacto",R270="Impacto"),(AC269-(+AC269*U270)),IF(R270="Impacto",(N269-(+N269*U270)),IF(R270="Probabilidad",AC269,""))),"")</f>
        <v>1</v>
      </c>
      <c r="AD270" s="174" t="str">
        <f t="shared" si="404"/>
        <v>Extremo</v>
      </c>
      <c r="AE270" s="170" t="s">
        <v>120</v>
      </c>
      <c r="AF270" s="132"/>
      <c r="AG270" s="194"/>
      <c r="AH270" s="195"/>
      <c r="AI270" s="176"/>
      <c r="AJ270" s="181"/>
      <c r="AK270" s="522"/>
      <c r="AL270" s="535"/>
      <c r="AM270" s="535"/>
      <c r="AN270" s="535"/>
      <c r="AO270" s="535"/>
      <c r="AP270" s="535"/>
      <c r="AQ270" s="535"/>
      <c r="AR270" s="535"/>
      <c r="AS270" s="158"/>
      <c r="AT270" s="158"/>
      <c r="AU270" s="158"/>
      <c r="AV270" s="158"/>
      <c r="AW270" s="158"/>
      <c r="AX270" s="158"/>
      <c r="AY270" s="158"/>
      <c r="AZ270" s="158"/>
      <c r="BA270" s="158"/>
      <c r="BB270" s="158"/>
      <c r="BC270" s="158"/>
      <c r="BD270" s="158"/>
      <c r="BE270" s="158"/>
      <c r="BF270" s="158"/>
      <c r="BG270" s="158"/>
      <c r="BH270" s="158"/>
      <c r="BI270" s="158"/>
      <c r="BJ270" s="158"/>
    </row>
    <row r="271" spans="2:62" s="163" customFormat="1" ht="65.25" x14ac:dyDescent="0.25">
      <c r="B271" s="357" t="s">
        <v>567</v>
      </c>
      <c r="C271" s="311" t="s">
        <v>220</v>
      </c>
      <c r="D271" s="312" t="s">
        <v>568</v>
      </c>
      <c r="E271" s="313" t="s">
        <v>127</v>
      </c>
      <c r="F271" s="313" t="s">
        <v>538</v>
      </c>
      <c r="G271" s="304" t="s">
        <v>569</v>
      </c>
      <c r="H271" s="305" t="s">
        <v>109</v>
      </c>
      <c r="I271" s="306" t="str">
        <f>IF(H271&lt;=0,"",IF(H271="No se ha presentado en los últimos 5 años","Rara vez",IF(H271="Al menos 1 vez en los últimos 5 años","Improbable",IF(H271="Al menos 1 vez en los últimos 2 años","Posible",IF(H271="Al menos 1 vez en el último año","Probable",IF(H271="Más de 1 vez al año","Casi Seguro"))))))</f>
        <v>Rara vez</v>
      </c>
      <c r="J271" s="307">
        <f>IF(I271="","",IF(I271="Rara vez",0.2,IF(I271="Improbable",0.4,IF(I271="Posible",0.6,IF(I271="Probable",0.8,IF(I271="Casi Seguro",1,))))))</f>
        <v>0.2</v>
      </c>
      <c r="K271" s="308" t="s">
        <v>131</v>
      </c>
      <c r="L271" s="307" t="str">
        <f>IF(NOT(ISERROR(MATCH(K271,'Tabla Impacto'!$B$220:$B$222,0))),'Tabla Impacto'!$F$222&amp;"Por favor no seleccionar los criterios de impacto(Criterios para calificar el impacto)",K271)</f>
        <v xml:space="preserve">Responder afirmativamente de DOCE a DIECINUEVE </v>
      </c>
      <c r="M271" s="306" t="str">
        <f>IF(OR(L271='Tabla Impacto'!$C$5),"Moderado",IF(OR(L271='Tabla Impacto'!$C$6),"Mayor",IF(OR(L271='Tabla Impacto'!$C$7),"Catastrófico","")))</f>
        <v>Catastrófico</v>
      </c>
      <c r="N271" s="307">
        <f>IF(M271="","",IF(M271="Leve",0.2,IF(M271="Menor",0.4,IF(M271="Moderado",0.6,IF(M271="Mayor",0.8,IF(M271="Catastrófico",1,))))))</f>
        <v>1</v>
      </c>
      <c r="O271" s="309" t="str">
        <f>IF(OR(AND(I271="Rara vez",M271="Leve"),AND(I271="Rara vez",M271="Menor"),AND(I271="Improbable",M271="Leve")),"Bajo",IF(OR(AND(I271="Rara vez",M271="Moderado"),AND(I271="Improbable",M271="Menor"),AND(I271="Improbable",M271="Moderado"),AND(I271="Posible",M271="Leve"),AND(I271="Posible",M271="Menor"),AND(I271="Posible",M271="Moderado"),AND(I271="Probable",M271="Leve"),AND(I271="Probable",M271="Menor")),"Moderado",IF(OR(AND(I271="Rara vez",M271="Mayor"),AND(I271="Improbable",M271="Mayor"),AND(I271="Posible",M271="Mayor"),AND(I271="Probable",M271="Moderado"),AND(I271="Probable",M271="Mayor"),AND(I271="Casi Seguro",M271="Leve"),AND(I271="Casi Seguro",M271="Menor"),AND(I271="Casi Seguro",M271="Moderado"),AND(I271="Casi Seguro",M271="Mayor")),"Alto",IF(OR(AND(I271="Rara vez",M271="Catastrófico"),AND(I271="Improbable",M271="Catastrófico"),AND(I271="Posible",M271="Catastrófico"),AND(I271="Probable",M271="Catastrófico"),AND(I271="Casi Seguro",M271="Catastrófico")),"Extremo",""))))</f>
        <v>Extremo</v>
      </c>
      <c r="P271" s="168">
        <v>1</v>
      </c>
      <c r="Q271" s="146" t="s">
        <v>570</v>
      </c>
      <c r="R271" s="169" t="str">
        <f t="shared" si="398"/>
        <v>Probabilidad</v>
      </c>
      <c r="S271" s="170" t="s">
        <v>112</v>
      </c>
      <c r="T271" s="170" t="s">
        <v>113</v>
      </c>
      <c r="U271" s="171" t="str">
        <f>IF(AND(S271="Preventivo",T271="Automático"),"50%",IF(AND(S271="Preventivo",T271="Manual"),"40%",IF(AND(S271="Detectivo",T271="Automático"),"40%",IF(AND(S271="Detectivo",T271="Manual"),"30%",IF(AND(S271="Correctivo",T271="Automático"),"35%",IF(AND(S271="Correctivo",T271="Manual"),"25%",""))))))</f>
        <v>40%</v>
      </c>
      <c r="V271" s="170" t="s">
        <v>119</v>
      </c>
      <c r="W271" s="170" t="s">
        <v>115</v>
      </c>
      <c r="X271" s="170" t="s">
        <v>116</v>
      </c>
      <c r="Y271" s="172">
        <f>IFERROR(IF(R271="Probabilidad",(J271-(+J271*U271)),IF(R271="Impacto",J271,"")),"")</f>
        <v>0.12</v>
      </c>
      <c r="Z271" s="173" t="str">
        <f>IFERROR(IF(Y271="","",IF(Y271&lt;=0.2,"Rara vez",IF(Y271&lt;=0.4,"Improbable",IF(Y271&lt;=0.6,"Posible",IF(Y271&lt;=0.8,"Probable","Casi Seguro"))))),"")</f>
        <v>Rara vez</v>
      </c>
      <c r="AA271" s="171">
        <f>+Y271</f>
        <v>0.12</v>
      </c>
      <c r="AB271" s="173" t="str">
        <f>IFERROR(IF(AC271="","",IF(AC271&lt;=0.6,"Moderado",IF(AC271&lt;=0.8,"Mayor","Catastrófico"))),"")</f>
        <v>Catastrófico</v>
      </c>
      <c r="AC271" s="171">
        <f>IFERROR(IF(R271="Impacto",(N271-(+N271*U271)),IF(R271="Probabilidad",N271,"")),"")</f>
        <v>1</v>
      </c>
      <c r="AD271" s="174" t="str">
        <f t="shared" si="404"/>
        <v>Extremo</v>
      </c>
      <c r="AE271" s="170"/>
      <c r="AF271" s="123"/>
      <c r="AG271" s="123"/>
      <c r="AH271" s="175"/>
      <c r="AI271" s="176"/>
      <c r="AJ271" s="177"/>
      <c r="AK271" s="522"/>
      <c r="AL271" s="534"/>
      <c r="AM271" s="534"/>
      <c r="AN271" s="534"/>
      <c r="AO271" s="534"/>
      <c r="AP271" s="534"/>
      <c r="AQ271" s="534"/>
      <c r="AR271" s="534"/>
      <c r="AS271" s="178"/>
      <c r="AT271" s="178"/>
      <c r="AU271" s="178"/>
      <c r="AV271" s="178"/>
      <c r="AW271" s="178"/>
      <c r="AX271" s="178"/>
      <c r="AY271" s="178"/>
      <c r="AZ271" s="178"/>
      <c r="BA271" s="178"/>
      <c r="BB271" s="178"/>
      <c r="BC271" s="178"/>
      <c r="BD271" s="178"/>
      <c r="BE271" s="178"/>
      <c r="BF271" s="178"/>
      <c r="BG271" s="178"/>
      <c r="BH271" s="178"/>
      <c r="BI271" s="178"/>
      <c r="BJ271" s="178"/>
    </row>
    <row r="272" spans="2:62" ht="76.5" x14ac:dyDescent="0.2">
      <c r="B272" s="310"/>
      <c r="C272" s="311"/>
      <c r="D272" s="312"/>
      <c r="E272" s="313"/>
      <c r="F272" s="313"/>
      <c r="G272" s="304"/>
      <c r="H272" s="305"/>
      <c r="I272" s="306"/>
      <c r="J272" s="307"/>
      <c r="K272" s="308"/>
      <c r="L272" s="307">
        <f>IF(NOT(ISERROR(MATCH(K272,_xlfn.ANCHORARRAY(G522),0))),J524&amp;"Por favor no seleccionar los criterios de impacto",K272)</f>
        <v>0</v>
      </c>
      <c r="M272" s="306"/>
      <c r="N272" s="307"/>
      <c r="O272" s="309"/>
      <c r="P272" s="168">
        <v>2</v>
      </c>
      <c r="Q272" s="146" t="s">
        <v>571</v>
      </c>
      <c r="R272" s="169" t="str">
        <f t="shared" si="398"/>
        <v>Probabilidad</v>
      </c>
      <c r="S272" s="170" t="s">
        <v>133</v>
      </c>
      <c r="T272" s="170" t="s">
        <v>113</v>
      </c>
      <c r="U272" s="171" t="str">
        <f t="shared" ref="U272:U273" si="409">IF(AND(S272="Preventivo",T272="Automático"),"50%",IF(AND(S272="Preventivo",T272="Manual"),"40%",IF(AND(S272="Detectivo",T272="Automático"),"40%",IF(AND(S272="Detectivo",T272="Manual"),"30%",IF(AND(S272="Correctivo",T272="Automático"),"35%",IF(AND(S272="Correctivo",T272="Manual"),"25%",""))))))</f>
        <v>30%</v>
      </c>
      <c r="V272" s="170" t="s">
        <v>114</v>
      </c>
      <c r="W272" s="170" t="s">
        <v>115</v>
      </c>
      <c r="X272" s="170" t="s">
        <v>116</v>
      </c>
      <c r="Y272" s="172">
        <f>IFERROR(IF(AND(R271="Probabilidad",R272="Probabilidad"),(AA271-(+AA271*U272)),IF(R272="Probabilidad",(J271-(+J271*U272)),IF(R272="Impacto",AA271,""))),"")</f>
        <v>8.3999999999999991E-2</v>
      </c>
      <c r="Z272" s="173" t="str">
        <f t="shared" ref="Z272:Z273" si="410">IFERROR(IF(Y272="","",IF(Y272&lt;=0.2,"Rara vez",IF(Y272&lt;=0.4,"Improbable",IF(Y272&lt;=0.6,"Posible",IF(Y272&lt;=0.8,"Probable","Casi Seguro"))))),"")</f>
        <v>Rara vez</v>
      </c>
      <c r="AA272" s="171">
        <f t="shared" ref="AA272:AA273" si="411">+Y272</f>
        <v>8.3999999999999991E-2</v>
      </c>
      <c r="AB272" s="173" t="str">
        <f t="shared" ref="AB272:AB273" si="412">IFERROR(IF(AC272="","",IF(AC272&lt;=0.6,"Moderado",IF(AC272&lt;=0.8,"Mayor","Catastrófico"))),"")</f>
        <v>Catastrófico</v>
      </c>
      <c r="AC272" s="171">
        <f>IFERROR(IF(AND(R271="Impacto",R272="Impacto"),(AC271-(+AC271*U272)),IF(R272="Impacto",(N271-(+N271*U272)),IF(R272="Probabilidad",AC271,""))),"")</f>
        <v>1</v>
      </c>
      <c r="AD272" s="174" t="str">
        <f t="shared" si="404"/>
        <v>Extremo</v>
      </c>
      <c r="AE272" s="170"/>
      <c r="AF272" s="132"/>
      <c r="AG272" s="194"/>
      <c r="AH272" s="195"/>
      <c r="AI272" s="176"/>
      <c r="AJ272" s="181"/>
      <c r="AK272" s="522"/>
      <c r="AL272" s="535"/>
      <c r="AM272" s="535"/>
      <c r="AN272" s="535"/>
      <c r="AO272" s="535"/>
      <c r="AP272" s="535"/>
      <c r="AQ272" s="535"/>
      <c r="AR272" s="535"/>
      <c r="AS272" s="158"/>
      <c r="AT272" s="158"/>
      <c r="AU272" s="158"/>
      <c r="AV272" s="158"/>
      <c r="AW272" s="158"/>
      <c r="AX272" s="158"/>
      <c r="AY272" s="158"/>
      <c r="AZ272" s="158"/>
      <c r="BA272" s="158"/>
      <c r="BB272" s="158"/>
      <c r="BC272" s="158"/>
      <c r="BD272" s="158"/>
      <c r="BE272" s="158"/>
      <c r="BF272" s="158"/>
      <c r="BG272" s="158"/>
      <c r="BH272" s="158"/>
      <c r="BI272" s="158"/>
      <c r="BJ272" s="158"/>
    </row>
    <row r="273" spans="2:62" ht="76.5" x14ac:dyDescent="0.2">
      <c r="B273" s="310"/>
      <c r="C273" s="311"/>
      <c r="D273" s="312"/>
      <c r="E273" s="313"/>
      <c r="F273" s="313"/>
      <c r="G273" s="304"/>
      <c r="H273" s="305"/>
      <c r="I273" s="306"/>
      <c r="J273" s="307"/>
      <c r="K273" s="308"/>
      <c r="L273" s="307">
        <f>IF(NOT(ISERROR(MATCH(K273,_xlfn.ANCHORARRAY(G523),0))),J525&amp;"Por favor no seleccionar los criterios de impacto",K273)</f>
        <v>0</v>
      </c>
      <c r="M273" s="306"/>
      <c r="N273" s="307"/>
      <c r="O273" s="309"/>
      <c r="P273" s="168">
        <v>3</v>
      </c>
      <c r="Q273" s="146" t="s">
        <v>572</v>
      </c>
      <c r="R273" s="169" t="s">
        <v>136</v>
      </c>
      <c r="S273" s="182" t="s">
        <v>137</v>
      </c>
      <c r="T273" s="170" t="s">
        <v>113</v>
      </c>
      <c r="U273" s="171" t="str">
        <f t="shared" si="409"/>
        <v>25%</v>
      </c>
      <c r="V273" s="170" t="s">
        <v>114</v>
      </c>
      <c r="W273" s="170" t="s">
        <v>115</v>
      </c>
      <c r="X273" s="170" t="s">
        <v>134</v>
      </c>
      <c r="Y273" s="172">
        <f>IFERROR(IF(AND(R272="Probabilidad",R273="Probabilidad"),(AA272-(+AA272*U273)),IF(AND(R272="Impacto",R273="Probabilidad"),(AA271-(+AA271*U273)),IF(R273="Impacto",AA272,""))),"")</f>
        <v>8.3999999999999991E-2</v>
      </c>
      <c r="Z273" s="173" t="str">
        <f t="shared" si="410"/>
        <v>Rara vez</v>
      </c>
      <c r="AA273" s="171">
        <f t="shared" si="411"/>
        <v>8.3999999999999991E-2</v>
      </c>
      <c r="AB273" s="173" t="str">
        <f t="shared" si="412"/>
        <v>Mayor</v>
      </c>
      <c r="AC273" s="171">
        <f>IFERROR(IF(AND(R272="Impacto",R273="Impacto"),(AC272-(+AC272*U273)),IF(AND(R272="Probabilidad",R273="Impacto"),(AC271-(+AC271*U273)),IF(R273="Probabilidad",AC272,""))),"")</f>
        <v>0.75</v>
      </c>
      <c r="AD273" s="174" t="str">
        <f t="shared" si="404"/>
        <v>Alto</v>
      </c>
      <c r="AE273" s="196" t="s">
        <v>120</v>
      </c>
      <c r="AF273" s="136"/>
      <c r="AG273" s="203"/>
      <c r="AH273" s="202"/>
      <c r="AI273" s="187"/>
      <c r="AJ273" s="188"/>
      <c r="AK273" s="523"/>
      <c r="AL273" s="535"/>
      <c r="AM273" s="535"/>
      <c r="AN273" s="535"/>
      <c r="AO273" s="535"/>
      <c r="AP273" s="535"/>
      <c r="AQ273" s="535"/>
      <c r="AR273" s="535"/>
      <c r="AS273" s="158"/>
      <c r="AT273" s="158"/>
      <c r="AU273" s="158"/>
      <c r="AV273" s="158"/>
      <c r="AW273" s="158"/>
      <c r="AX273" s="158"/>
      <c r="AY273" s="158"/>
      <c r="AZ273" s="158"/>
      <c r="BA273" s="158"/>
      <c r="BB273" s="158"/>
      <c r="BC273" s="158"/>
      <c r="BD273" s="158"/>
      <c r="BE273" s="158"/>
      <c r="BF273" s="158"/>
      <c r="BG273" s="158"/>
      <c r="BH273" s="158"/>
      <c r="BI273" s="158"/>
      <c r="BJ273" s="158"/>
    </row>
    <row r="274" spans="2:62" s="163" customFormat="1" ht="76.5" x14ac:dyDescent="0.25">
      <c r="B274" s="357" t="s">
        <v>573</v>
      </c>
      <c r="C274" s="311" t="s">
        <v>359</v>
      </c>
      <c r="D274" s="312" t="s">
        <v>574</v>
      </c>
      <c r="E274" s="313" t="s">
        <v>127</v>
      </c>
      <c r="F274" s="313" t="s">
        <v>575</v>
      </c>
      <c r="G274" s="304" t="s">
        <v>576</v>
      </c>
      <c r="H274" s="305" t="s">
        <v>109</v>
      </c>
      <c r="I274" s="306" t="str">
        <f>IF(H274&lt;=0,"",IF(H274="No se ha presentado en los últimos 5 años","Rara vez",IF(H274="Al menos 1 vez en los últimos 5 años","Improbable",IF(H274="Al menos 1 vez en los últimos 2 años","Posible",IF(H274="Al menos 1 vez en el último año","Probable",IF(H274="Más de 1 vez al año","Casi Seguro"))))))</f>
        <v>Rara vez</v>
      </c>
      <c r="J274" s="307">
        <f>IF(I274="","",IF(I274="Rara vez",0.2,IF(I274="Improbable",0.4,IF(I274="Posible",0.6,IF(I274="Probable",0.8,IF(I274="Casi Seguro",1,))))))</f>
        <v>0.2</v>
      </c>
      <c r="K274" s="308" t="s">
        <v>110</v>
      </c>
      <c r="L274" s="307" t="str">
        <f>IF(NOT(ISERROR(MATCH(K274,'Tabla Impacto'!$B$220:$B$222,0))),'Tabla Impacto'!$F$222&amp;"Por favor no seleccionar los criterios de impacto(Criterios para calificar el impacto)",K274)</f>
        <v>Responder afirmativamente de SEIS a ONCE</v>
      </c>
      <c r="M274" s="306" t="str">
        <f>IF(OR(L274='Tabla Impacto'!$C$5),"Moderado",IF(OR(L274='Tabla Impacto'!$C$6),"Mayor",IF(OR(L274='Tabla Impacto'!$C$7),"Catastrófico","")))</f>
        <v>Mayor</v>
      </c>
      <c r="N274" s="307">
        <f>IF(M274="","",IF(M274="Leve",0.2,IF(M274="Menor",0.4,IF(M274="Moderado",0.6,IF(M274="Mayor",0.8,IF(M274="Catastrófico",1,))))))</f>
        <v>0.8</v>
      </c>
      <c r="O274" s="309" t="str">
        <f>IF(OR(AND(I274="Rara vez",M274="Leve"),AND(I274="Rara vez",M274="Menor"),AND(I274="Improbable",M274="Leve")),"Bajo",IF(OR(AND(I274="Rara vez",M274="Moderado"),AND(I274="Improbable",M274="Menor"),AND(I274="Improbable",M274="Moderado"),AND(I274="Posible",M274="Leve"),AND(I274="Posible",M274="Menor"),AND(I274="Posible",M274="Moderado"),AND(I274="Probable",M274="Leve"),AND(I274="Probable",M274="Menor")),"Moderado",IF(OR(AND(I274="Rara vez",M274="Mayor"),AND(I274="Improbable",M274="Mayor"),AND(I274="Posible",M274="Mayor"),AND(I274="Probable",M274="Moderado"),AND(I274="Probable",M274="Mayor"),AND(I274="Casi Seguro",M274="Leve"),AND(I274="Casi Seguro",M274="Menor"),AND(I274="Casi Seguro",M274="Moderado"),AND(I274="Casi Seguro",M274="Mayor")),"Alto",IF(OR(AND(I274="Rara vez",M274="Catastrófico"),AND(I274="Improbable",M274="Catastrófico"),AND(I274="Posible",M274="Catastrófico"),AND(I274="Probable",M274="Catastrófico"),AND(I274="Casi Seguro",M274="Catastrófico")),"Extremo",""))))</f>
        <v>Alto</v>
      </c>
      <c r="P274" s="168">
        <v>1</v>
      </c>
      <c r="Q274" s="146" t="s">
        <v>577</v>
      </c>
      <c r="R274" s="169" t="str">
        <f>IF(OR(S274="Preventivo",S274="Detectivo"),"Probabilidad",IF(S274="Correctivo","Impacto",""))</f>
        <v>Probabilidad</v>
      </c>
      <c r="S274" s="170" t="s">
        <v>133</v>
      </c>
      <c r="T274" s="170" t="s">
        <v>113</v>
      </c>
      <c r="U274" s="171" t="str">
        <f>IF(AND(S274="Preventivo",T274="Automático"),"50%",IF(AND(S274="Preventivo",T274="Manual"),"40%",IF(AND(S274="Detectivo",T274="Automático"),"40%",IF(AND(S274="Detectivo",T274="Manual"),"30%",IF(AND(S274="Correctivo",T274="Automático"),"35%",IF(AND(S274="Correctivo",T274="Manual"),"25%",""))))))</f>
        <v>30%</v>
      </c>
      <c r="V274" s="170" t="s">
        <v>119</v>
      </c>
      <c r="W274" s="170" t="s">
        <v>115</v>
      </c>
      <c r="X274" s="170" t="s">
        <v>134</v>
      </c>
      <c r="Y274" s="172">
        <f>IFERROR(IF(R274="Probabilidad",(J274-(+J274*U274)),IF(R274="Impacto",J274,"")),"")</f>
        <v>0.14000000000000001</v>
      </c>
      <c r="Z274" s="173" t="str">
        <f>IFERROR(IF(Y274="","",IF(Y274&lt;=0.2,"Rara vez",IF(Y274&lt;=0.4,"Improbable",IF(Y274&lt;=0.6,"Posible",IF(Y274&lt;=0.8,"Probable","Casi Seguro"))))),"")</f>
        <v>Rara vez</v>
      </c>
      <c r="AA274" s="171">
        <f>+Y274</f>
        <v>0.14000000000000001</v>
      </c>
      <c r="AB274" s="173" t="str">
        <f>IFERROR(IF(AC274="","",IF(AC274&lt;=0.6,"Moderado",IF(AC274&lt;=0.8,"Mayor","Catastrófico"))),"")</f>
        <v>Mayor</v>
      </c>
      <c r="AC274" s="171">
        <f>IFERROR(IF(R274="Impacto",(N274-(+N274*U274)),IF(R274="Probabilidad",N274,"")),"")</f>
        <v>0.8</v>
      </c>
      <c r="AD274" s="174" t="str">
        <f t="shared" ref="AD274" si="413">IFERROR(IF(OR(AND(Z274="Rara vez",AB274="Leve"),AND(Z274="Rara vez",AB274="Menor"),AND(Z274="Improbable",AB274="Leve")),"Bajo",IF(OR(AND(Z274="Rara vez",AB274="Moderado"),AND(Z274="Improbable",AB274="Menor"),AND(Z274="Improbable",AB274="Moderado"),AND(Z274="Posible",AB274="Leve"),AND(Z274="Posible",AB274="Menor"),AND(Z274="Posible",AB274="Moderado"),AND(Z274="Probable",AB274="Leve"),AND(Z274="Probable",AB274="Menor")),"Moderado",IF(OR(AND(Z274="Rara vez",AB274="Mayor"),AND(Z274="Improbable",AB274="Mayor"),AND(Z274="Posible",AB274="Mayor"),AND(Z274="Probable",AB274="Moderado"),AND(Z274="Probable",AB274="Mayor"),AND(Z274="Casi Seguro",AB274="Leve"),AND(Z274="Casi Seguro",AB274="Menor"),AND(Z274="Casi Seguro",AB274="Moderado"),AND(Z274="Casi Seguro",AB274="Mayor")),"Alto",IF(OR(AND(Z274="Rara vez",AB274="Catastrófico"),AND(Z274="Improbable",AB274="Catastrófico"),AND(Z274="Posible",AB274="Catastrófico"),AND(Z274="Probable",AB274="Catastrófico"),AND(Z274="Casi Seguro",AB274="Catastrófico")),"Extremo","")))),"")</f>
        <v>Alto</v>
      </c>
      <c r="AE274" s="170" t="s">
        <v>120</v>
      </c>
      <c r="AF274" s="123"/>
      <c r="AG274" s="123"/>
      <c r="AH274" s="175"/>
      <c r="AI274" s="176"/>
      <c r="AJ274" s="177"/>
      <c r="AK274" s="522"/>
      <c r="AL274" s="534"/>
      <c r="AM274" s="534"/>
      <c r="AN274" s="534"/>
      <c r="AO274" s="534"/>
      <c r="AP274" s="534"/>
      <c r="AQ274" s="534"/>
      <c r="AR274" s="534"/>
      <c r="AS274" s="178"/>
      <c r="AT274" s="178"/>
      <c r="AU274" s="178"/>
      <c r="AV274" s="178"/>
      <c r="AW274" s="178"/>
      <c r="AX274" s="178"/>
      <c r="AY274" s="178"/>
      <c r="AZ274" s="178"/>
      <c r="BA274" s="178"/>
      <c r="BB274" s="178"/>
      <c r="BC274" s="178"/>
      <c r="BD274" s="178"/>
      <c r="BE274" s="178"/>
      <c r="BF274" s="178"/>
      <c r="BG274" s="178"/>
      <c r="BH274" s="178"/>
      <c r="BI274" s="178"/>
      <c r="BJ274" s="178"/>
    </row>
    <row r="275" spans="2:62" ht="12" customHeight="1" x14ac:dyDescent="0.2">
      <c r="B275" s="310"/>
      <c r="C275" s="311"/>
      <c r="D275" s="312"/>
      <c r="E275" s="313"/>
      <c r="F275" s="313"/>
      <c r="G275" s="304"/>
      <c r="H275" s="305"/>
      <c r="I275" s="306"/>
      <c r="J275" s="307"/>
      <c r="K275" s="308"/>
      <c r="L275" s="307">
        <f>IF(NOT(ISERROR(MATCH(K275,_xlfn.ANCHORARRAY(G525),0))),J527&amp;"Por favor no seleccionar los criterios de impacto",K275)</f>
        <v>0</v>
      </c>
      <c r="M275" s="306"/>
      <c r="N275" s="307"/>
      <c r="O275" s="309"/>
      <c r="P275" s="168">
        <v>2</v>
      </c>
      <c r="Q275" s="146"/>
      <c r="R275" s="169"/>
      <c r="S275" s="170"/>
      <c r="T275" s="170"/>
      <c r="U275" s="171"/>
      <c r="V275" s="170"/>
      <c r="W275" s="170"/>
      <c r="X275" s="170"/>
      <c r="Y275" s="172"/>
      <c r="Z275" s="173"/>
      <c r="AA275" s="171"/>
      <c r="AB275" s="173"/>
      <c r="AC275" s="171"/>
      <c r="AD275" s="174"/>
      <c r="AE275" s="170"/>
      <c r="AF275" s="132"/>
      <c r="AG275" s="194"/>
      <c r="AH275" s="195"/>
      <c r="AI275" s="176"/>
      <c r="AJ275" s="181"/>
      <c r="AK275" s="522"/>
      <c r="AL275" s="535"/>
      <c r="AM275" s="535"/>
      <c r="AN275" s="535"/>
      <c r="AO275" s="535"/>
      <c r="AP275" s="535"/>
      <c r="AQ275" s="535"/>
      <c r="AR275" s="535"/>
      <c r="AS275" s="158"/>
      <c r="AT275" s="158"/>
      <c r="AU275" s="158"/>
      <c r="AV275" s="158"/>
      <c r="AW275" s="158"/>
      <c r="AX275" s="158"/>
      <c r="AY275" s="158"/>
      <c r="AZ275" s="158"/>
      <c r="BA275" s="158"/>
      <c r="BB275" s="158"/>
      <c r="BC275" s="158"/>
      <c r="BD275" s="158"/>
      <c r="BE275" s="158"/>
      <c r="BF275" s="158"/>
      <c r="BG275" s="158"/>
      <c r="BH275" s="158"/>
      <c r="BI275" s="158"/>
      <c r="BJ275" s="158"/>
    </row>
    <row r="276" spans="2:62" ht="9.75" customHeight="1" x14ac:dyDescent="0.2">
      <c r="B276" s="310"/>
      <c r="C276" s="311"/>
      <c r="D276" s="312"/>
      <c r="E276" s="313"/>
      <c r="F276" s="313"/>
      <c r="G276" s="304"/>
      <c r="H276" s="305"/>
      <c r="I276" s="306"/>
      <c r="J276" s="307"/>
      <c r="K276" s="308"/>
      <c r="L276" s="307">
        <f>IF(NOT(ISERROR(MATCH(K276,_xlfn.ANCHORARRAY(G526),0))),J528&amp;"Por favor no seleccionar los criterios de impacto",K276)</f>
        <v>0</v>
      </c>
      <c r="M276" s="306"/>
      <c r="N276" s="307"/>
      <c r="O276" s="309"/>
      <c r="P276" s="168">
        <v>3</v>
      </c>
      <c r="Q276" s="146"/>
      <c r="R276" s="169"/>
      <c r="S276" s="182"/>
      <c r="T276" s="170"/>
      <c r="U276" s="171"/>
      <c r="V276" s="170"/>
      <c r="W276" s="170"/>
      <c r="X276" s="170"/>
      <c r="Y276" s="172"/>
      <c r="Z276" s="173"/>
      <c r="AA276" s="171"/>
      <c r="AB276" s="173"/>
      <c r="AC276" s="171"/>
      <c r="AD276" s="174"/>
      <c r="AE276" s="196"/>
      <c r="AF276" s="136"/>
      <c r="AG276" s="203"/>
      <c r="AH276" s="202"/>
      <c r="AI276" s="187"/>
      <c r="AJ276" s="188"/>
      <c r="AK276" s="523"/>
      <c r="AL276" s="535"/>
      <c r="AM276" s="535"/>
      <c r="AN276" s="535"/>
      <c r="AO276" s="535"/>
      <c r="AP276" s="535"/>
      <c r="AQ276" s="535"/>
      <c r="AR276" s="535"/>
      <c r="AS276" s="158"/>
      <c r="AT276" s="158"/>
      <c r="AU276" s="158"/>
      <c r="AV276" s="158"/>
      <c r="AW276" s="158"/>
      <c r="AX276" s="158"/>
      <c r="AY276" s="158"/>
      <c r="AZ276" s="158"/>
      <c r="BA276" s="158"/>
      <c r="BB276" s="158"/>
      <c r="BC276" s="158"/>
      <c r="BD276" s="158"/>
      <c r="BE276" s="158"/>
      <c r="BF276" s="158"/>
      <c r="BG276" s="158"/>
      <c r="BH276" s="158"/>
      <c r="BI276" s="158"/>
      <c r="BJ276" s="158"/>
    </row>
    <row r="277" spans="2:62" s="163" customFormat="1" ht="76.5" x14ac:dyDescent="0.25">
      <c r="B277" s="357" t="s">
        <v>578</v>
      </c>
      <c r="C277" s="311" t="s">
        <v>359</v>
      </c>
      <c r="D277" s="312" t="s">
        <v>467</v>
      </c>
      <c r="E277" s="313" t="s">
        <v>127</v>
      </c>
      <c r="F277" s="313" t="s">
        <v>579</v>
      </c>
      <c r="G277" s="304" t="s">
        <v>576</v>
      </c>
      <c r="H277" s="305" t="s">
        <v>109</v>
      </c>
      <c r="I277" s="306" t="str">
        <f>IF(H277&lt;=0,"",IF(H277="No se ha presentado en los últimos 5 años","Rara vez",IF(H277="Al menos 1 vez en los últimos 5 años","Improbable",IF(H277="Al menos 1 vez en los últimos 2 años","Posible",IF(H277="Al menos 1 vez en el último año","Probable",IF(H277="Más de 1 vez al año","Casi Seguro"))))))</f>
        <v>Rara vez</v>
      </c>
      <c r="J277" s="307">
        <f>IF(I277="","",IF(I277="Rara vez",0.2,IF(I277="Improbable",0.4,IF(I277="Posible",0.6,IF(I277="Probable",0.8,IF(I277="Casi Seguro",1,))))))</f>
        <v>0.2</v>
      </c>
      <c r="K277" s="308" t="s">
        <v>110</v>
      </c>
      <c r="L277" s="307" t="str">
        <f>IF(NOT(ISERROR(MATCH(K277,'Tabla Impacto'!$B$220:$B$222,0))),'Tabla Impacto'!$F$222&amp;"Por favor no seleccionar los criterios de impacto(Criterios para calificar el impacto)",K277)</f>
        <v>Responder afirmativamente de SEIS a ONCE</v>
      </c>
      <c r="M277" s="306" t="str">
        <f>IF(OR(L277='Tabla Impacto'!$C$5),"Moderado",IF(OR(L277='Tabla Impacto'!$C$6),"Mayor",IF(OR(L277='Tabla Impacto'!$C$7),"Catastrófico","")))</f>
        <v>Mayor</v>
      </c>
      <c r="N277" s="307">
        <f>IF(M277="","",IF(M277="Leve",0.2,IF(M277="Menor",0.4,IF(M277="Moderado",0.6,IF(M277="Mayor",0.8,IF(M277="Catastrófico",1,))))))</f>
        <v>0.8</v>
      </c>
      <c r="O277" s="309" t="str">
        <f>IF(OR(AND(I277="Rara vez",M277="Leve"),AND(I277="Rara vez",M277="Menor"),AND(I277="Improbable",M277="Leve")),"Bajo",IF(OR(AND(I277="Rara vez",M277="Moderado"),AND(I277="Improbable",M277="Menor"),AND(I277="Improbable",M277="Moderado"),AND(I277="Posible",M277="Leve"),AND(I277="Posible",M277="Menor"),AND(I277="Posible",M277="Moderado"),AND(I277="Probable",M277="Leve"),AND(I277="Probable",M277="Menor")),"Moderado",IF(OR(AND(I277="Rara vez",M277="Mayor"),AND(I277="Improbable",M277="Mayor"),AND(I277="Posible",M277="Mayor"),AND(I277="Probable",M277="Moderado"),AND(I277="Probable",M277="Mayor"),AND(I277="Casi Seguro",M277="Leve"),AND(I277="Casi Seguro",M277="Menor"),AND(I277="Casi Seguro",M277="Moderado"),AND(I277="Casi Seguro",M277="Mayor")),"Alto",IF(OR(AND(I277="Rara vez",M277="Catastrófico"),AND(I277="Improbable",M277="Catastrófico"),AND(I277="Posible",M277="Catastrófico"),AND(I277="Probable",M277="Catastrófico"),AND(I277="Casi Seguro",M277="Catastrófico")),"Extremo",""))))</f>
        <v>Alto</v>
      </c>
      <c r="P277" s="168">
        <v>1</v>
      </c>
      <c r="Q277" s="146" t="s">
        <v>580</v>
      </c>
      <c r="R277" s="169" t="str">
        <f>IF(OR(S277="Preventivo",S277="Detectivo"),"Probabilidad",IF(S277="Correctivo","Impacto",""))</f>
        <v>Probabilidad</v>
      </c>
      <c r="S277" s="170" t="s">
        <v>112</v>
      </c>
      <c r="T277" s="170" t="s">
        <v>113</v>
      </c>
      <c r="U277" s="171" t="str">
        <f>IF(AND(S277="Preventivo",T277="Automático"),"50%",IF(AND(S277="Preventivo",T277="Manual"),"40%",IF(AND(S277="Detectivo",T277="Automático"),"40%",IF(AND(S277="Detectivo",T277="Manual"),"30%",IF(AND(S277="Correctivo",T277="Automático"),"35%",IF(AND(S277="Correctivo",T277="Manual"),"25%",""))))))</f>
        <v>40%</v>
      </c>
      <c r="V277" s="170" t="s">
        <v>119</v>
      </c>
      <c r="W277" s="170" t="s">
        <v>115</v>
      </c>
      <c r="X277" s="170" t="s">
        <v>134</v>
      </c>
      <c r="Y277" s="172">
        <f>IFERROR(IF(R277="Probabilidad",(J277-(+J277*U277)),IF(R277="Impacto",J277,"")),"")</f>
        <v>0.12</v>
      </c>
      <c r="Z277" s="173" t="str">
        <f>IFERROR(IF(Y277="","",IF(Y277&lt;=0.2,"Rara vez",IF(Y277&lt;=0.4,"Improbable",IF(Y277&lt;=0.6,"Posible",IF(Y277&lt;=0.8,"Probable","Casi Seguro"))))),"")</f>
        <v>Rara vez</v>
      </c>
      <c r="AA277" s="171">
        <f>+Y277</f>
        <v>0.12</v>
      </c>
      <c r="AB277" s="173" t="str">
        <f>IFERROR(IF(AC277="","",IF(AC277&lt;=0.6,"Moderado",IF(AC277&lt;=0.8,"Mayor","Catastrófico"))),"")</f>
        <v>Mayor</v>
      </c>
      <c r="AC277" s="171">
        <f>IFERROR(IF(R277="Impacto",(N277-(+N277*U277)),IF(R277="Probabilidad",N277,"")),"")</f>
        <v>0.8</v>
      </c>
      <c r="AD277" s="174" t="str">
        <f t="shared" ref="AD277:AD279" si="414">IFERROR(IF(OR(AND(Z277="Rara vez",AB277="Leve"),AND(Z277="Rara vez",AB277="Menor"),AND(Z277="Improbable",AB277="Leve")),"Bajo",IF(OR(AND(Z277="Rara vez",AB277="Moderado"),AND(Z277="Improbable",AB277="Menor"),AND(Z277="Improbable",AB277="Moderado"),AND(Z277="Posible",AB277="Leve"),AND(Z277="Posible",AB277="Menor"),AND(Z277="Posible",AB277="Moderado"),AND(Z277="Probable",AB277="Leve"),AND(Z277="Probable",AB277="Menor")),"Moderado",IF(OR(AND(Z277="Rara vez",AB277="Mayor"),AND(Z277="Improbable",AB277="Mayor"),AND(Z277="Posible",AB277="Mayor"),AND(Z277="Probable",AB277="Moderado"),AND(Z277="Probable",AB277="Mayor"),AND(Z277="Casi Seguro",AB277="Leve"),AND(Z277="Casi Seguro",AB277="Menor"),AND(Z277="Casi Seguro",AB277="Moderado"),AND(Z277="Casi Seguro",AB277="Mayor")),"Alto",IF(OR(AND(Z277="Rara vez",AB277="Catastrófico"),AND(Z277="Improbable",AB277="Catastrófico"),AND(Z277="Posible",AB277="Catastrófico"),AND(Z277="Probable",AB277="Catastrófico"),AND(Z277="Casi Seguro",AB277="Catastrófico")),"Extremo","")))),"")</f>
        <v>Alto</v>
      </c>
      <c r="AE277" s="170"/>
      <c r="AF277" s="123"/>
      <c r="AG277" s="123"/>
      <c r="AH277" s="175"/>
      <c r="AI277" s="176"/>
      <c r="AJ277" s="177"/>
      <c r="AK277" s="522"/>
      <c r="AL277" s="534"/>
      <c r="AM277" s="534"/>
      <c r="AN277" s="534"/>
      <c r="AO277" s="534"/>
      <c r="AP277" s="534"/>
      <c r="AQ277" s="534"/>
      <c r="AR277" s="534"/>
      <c r="AS277" s="178"/>
      <c r="AT277" s="178"/>
      <c r="AU277" s="178"/>
      <c r="AV277" s="178"/>
      <c r="AW277" s="178"/>
      <c r="AX277" s="178"/>
      <c r="AY277" s="178"/>
      <c r="AZ277" s="178"/>
      <c r="BA277" s="178"/>
      <c r="BB277" s="178"/>
      <c r="BC277" s="178"/>
      <c r="BD277" s="178"/>
      <c r="BE277" s="178"/>
      <c r="BF277" s="178"/>
      <c r="BG277" s="178"/>
      <c r="BH277" s="178"/>
      <c r="BI277" s="178"/>
      <c r="BJ277" s="178"/>
    </row>
    <row r="278" spans="2:62" ht="85.5" customHeight="1" x14ac:dyDescent="0.2">
      <c r="B278" s="310"/>
      <c r="C278" s="311"/>
      <c r="D278" s="312"/>
      <c r="E278" s="313"/>
      <c r="F278" s="313"/>
      <c r="G278" s="304"/>
      <c r="H278" s="305"/>
      <c r="I278" s="306"/>
      <c r="J278" s="307"/>
      <c r="K278" s="308"/>
      <c r="L278" s="307">
        <f>IF(NOT(ISERROR(MATCH(K278,_xlfn.ANCHORARRAY(G528),0))),J530&amp;"Por favor no seleccionar los criterios de impacto",K278)</f>
        <v>0</v>
      </c>
      <c r="M278" s="306"/>
      <c r="N278" s="307"/>
      <c r="O278" s="309"/>
      <c r="P278" s="168">
        <v>2</v>
      </c>
      <c r="Q278" s="146" t="s">
        <v>581</v>
      </c>
      <c r="R278" s="169" t="str">
        <f>IF(OR(S278="Preventivo",S278="Detectivo"),"Probabilidad",IF(S278="Correctivo","Impacto",""))</f>
        <v>Probabilidad</v>
      </c>
      <c r="S278" s="170" t="s">
        <v>112</v>
      </c>
      <c r="T278" s="170" t="s">
        <v>113</v>
      </c>
      <c r="U278" s="171" t="str">
        <f t="shared" ref="U278:U279" si="415">IF(AND(S278="Preventivo",T278="Automático"),"50%",IF(AND(S278="Preventivo",T278="Manual"),"40%",IF(AND(S278="Detectivo",T278="Automático"),"40%",IF(AND(S278="Detectivo",T278="Manual"),"30%",IF(AND(S278="Correctivo",T278="Automático"),"35%",IF(AND(S278="Correctivo",T278="Manual"),"25%",""))))))</f>
        <v>40%</v>
      </c>
      <c r="V278" s="170" t="s">
        <v>119</v>
      </c>
      <c r="W278" s="170" t="s">
        <v>115</v>
      </c>
      <c r="X278" s="170" t="s">
        <v>134</v>
      </c>
      <c r="Y278" s="172">
        <f>IFERROR(IF(AND(R277="Probabilidad",R278="Probabilidad"),(AA277-(+AA277*U278)),IF(R278="Probabilidad",(J277-(+J277*U278)),IF(R278="Impacto",AA277,""))),"")</f>
        <v>7.1999999999999995E-2</v>
      </c>
      <c r="Z278" s="173" t="str">
        <f t="shared" ref="Z278:Z279" si="416">IFERROR(IF(Y278="","",IF(Y278&lt;=0.2,"Rara vez",IF(Y278&lt;=0.4,"Improbable",IF(Y278&lt;=0.6,"Posible",IF(Y278&lt;=0.8,"Probable","Casi Seguro"))))),"")</f>
        <v>Rara vez</v>
      </c>
      <c r="AA278" s="171">
        <f t="shared" ref="AA278:AA279" si="417">+Y278</f>
        <v>7.1999999999999995E-2</v>
      </c>
      <c r="AB278" s="173" t="str">
        <f t="shared" ref="AB278:AB279" si="418">IFERROR(IF(AC278="","",IF(AC278&lt;=0.6,"Moderado",IF(AC278&lt;=0.8,"Mayor","Catastrófico"))),"")</f>
        <v>Mayor</v>
      </c>
      <c r="AC278" s="171">
        <f>IFERROR(IF(AND(R277="Impacto",R278="Impacto"),(AC277-(+AC277*U278)),IF(R278="Impacto",(N277-(+N277*U278)),IF(R278="Probabilidad",AC277,""))),"")</f>
        <v>0.8</v>
      </c>
      <c r="AD278" s="174" t="str">
        <f t="shared" si="414"/>
        <v>Alto</v>
      </c>
      <c r="AE278" s="170"/>
      <c r="AF278" s="132"/>
      <c r="AG278" s="194"/>
      <c r="AH278" s="195"/>
      <c r="AI278" s="176"/>
      <c r="AJ278" s="181"/>
      <c r="AK278" s="522"/>
      <c r="AL278" s="535"/>
      <c r="AM278" s="535"/>
      <c r="AN278" s="535"/>
      <c r="AO278" s="535"/>
      <c r="AP278" s="535"/>
      <c r="AQ278" s="535"/>
      <c r="AR278" s="535"/>
      <c r="AS278" s="158"/>
      <c r="AT278" s="158"/>
      <c r="AU278" s="158"/>
      <c r="AV278" s="158"/>
      <c r="AW278" s="158"/>
      <c r="AX278" s="158"/>
      <c r="AY278" s="158"/>
      <c r="AZ278" s="158"/>
      <c r="BA278" s="158"/>
      <c r="BB278" s="158"/>
      <c r="BC278" s="158"/>
      <c r="BD278" s="158"/>
      <c r="BE278" s="158"/>
      <c r="BF278" s="158"/>
      <c r="BG278" s="158"/>
      <c r="BH278" s="158"/>
      <c r="BI278" s="158"/>
      <c r="BJ278" s="158"/>
    </row>
    <row r="279" spans="2:62" ht="76.5" x14ac:dyDescent="0.2">
      <c r="B279" s="310"/>
      <c r="C279" s="311"/>
      <c r="D279" s="312"/>
      <c r="E279" s="313"/>
      <c r="F279" s="313"/>
      <c r="G279" s="304"/>
      <c r="H279" s="305"/>
      <c r="I279" s="306"/>
      <c r="J279" s="307"/>
      <c r="K279" s="308"/>
      <c r="L279" s="307">
        <f>IF(NOT(ISERROR(MATCH(K279,_xlfn.ANCHORARRAY(G529),0))),J531&amp;"Por favor no seleccionar los criterios de impacto",K279)</f>
        <v>0</v>
      </c>
      <c r="M279" s="306"/>
      <c r="N279" s="307"/>
      <c r="O279" s="309"/>
      <c r="P279" s="168">
        <v>3</v>
      </c>
      <c r="Q279" s="146" t="s">
        <v>582</v>
      </c>
      <c r="R279" s="169" t="s">
        <v>136</v>
      </c>
      <c r="S279" s="182" t="s">
        <v>137</v>
      </c>
      <c r="T279" s="170" t="s">
        <v>113</v>
      </c>
      <c r="U279" s="171" t="str">
        <f t="shared" si="415"/>
        <v>25%</v>
      </c>
      <c r="V279" s="170" t="s">
        <v>119</v>
      </c>
      <c r="W279" s="170" t="s">
        <v>115</v>
      </c>
      <c r="X279" s="170" t="s">
        <v>134</v>
      </c>
      <c r="Y279" s="172">
        <f>IFERROR(IF(AND(R278="Probabilidad",R279="Probabilidad"),(AA278-(+AA278*U279)),IF(AND(R278="Impacto",R279="Probabilidad"),(AA277-(+AA277*U279)),IF(R279="Impacto",AA278,""))),"")</f>
        <v>7.1999999999999995E-2</v>
      </c>
      <c r="Z279" s="173" t="str">
        <f t="shared" si="416"/>
        <v>Rara vez</v>
      </c>
      <c r="AA279" s="171">
        <f t="shared" si="417"/>
        <v>7.1999999999999995E-2</v>
      </c>
      <c r="AB279" s="173" t="str">
        <f t="shared" si="418"/>
        <v>Moderado</v>
      </c>
      <c r="AC279" s="171">
        <f>IFERROR(IF(AND(R278="Impacto",R279="Impacto"),(AC278-(+AC278*U279)),IF(AND(R278="Probabilidad",R279="Impacto"),(AC277-(+AC277*U279)),IF(R279="Probabilidad",AC278,""))),"")</f>
        <v>0.60000000000000009</v>
      </c>
      <c r="AD279" s="174" t="str">
        <f t="shared" si="414"/>
        <v>Moderado</v>
      </c>
      <c r="AE279" s="196" t="s">
        <v>120</v>
      </c>
      <c r="AF279" s="136"/>
      <c r="AG279" s="203"/>
      <c r="AH279" s="202"/>
      <c r="AI279" s="187"/>
      <c r="AJ279" s="188"/>
      <c r="AK279" s="523"/>
      <c r="AL279" s="535"/>
      <c r="AM279" s="535"/>
      <c r="AN279" s="535"/>
      <c r="AO279" s="535"/>
      <c r="AP279" s="535"/>
      <c r="AQ279" s="535"/>
      <c r="AR279" s="535"/>
      <c r="AS279" s="158"/>
      <c r="AT279" s="158"/>
      <c r="AU279" s="158"/>
      <c r="AV279" s="158"/>
      <c r="AW279" s="158"/>
      <c r="AX279" s="158"/>
      <c r="AY279" s="158"/>
      <c r="AZ279" s="158"/>
      <c r="BA279" s="158"/>
      <c r="BB279" s="158"/>
      <c r="BC279" s="158"/>
      <c r="BD279" s="158"/>
      <c r="BE279" s="158"/>
      <c r="BF279" s="158"/>
      <c r="BG279" s="158"/>
      <c r="BH279" s="158"/>
      <c r="BI279" s="158"/>
      <c r="BJ279" s="158"/>
    </row>
    <row r="280" spans="2:62" s="163" customFormat="1" ht="76.5" x14ac:dyDescent="0.25">
      <c r="B280" s="357" t="s">
        <v>583</v>
      </c>
      <c r="C280" s="311" t="s">
        <v>359</v>
      </c>
      <c r="D280" s="312" t="s">
        <v>491</v>
      </c>
      <c r="E280" s="313" t="s">
        <v>127</v>
      </c>
      <c r="F280" s="313" t="s">
        <v>584</v>
      </c>
      <c r="G280" s="304" t="s">
        <v>493</v>
      </c>
      <c r="H280" s="305" t="s">
        <v>109</v>
      </c>
      <c r="I280" s="306" t="str">
        <f>IF(H280&lt;=0,"",IF(H280="No se ha presentado en los últimos 5 años","Rara vez",IF(H280="Al menos 1 vez en los últimos 5 años","Improbable",IF(H280="Al menos 1 vez en los últimos 2 años","Posible",IF(H280="Al menos 1 vez en el último año","Probable",IF(H280="Más de 1 vez al año","Casi Seguro"))))))</f>
        <v>Rara vez</v>
      </c>
      <c r="J280" s="307">
        <f>IF(I280="","",IF(I280="Rara vez",0.2,IF(I280="Improbable",0.4,IF(I280="Posible",0.6,IF(I280="Probable",0.8,IF(I280="Casi Seguro",1,))))))</f>
        <v>0.2</v>
      </c>
      <c r="K280" s="308" t="s">
        <v>131</v>
      </c>
      <c r="L280" s="307" t="str">
        <f>IF(NOT(ISERROR(MATCH(K280,'Tabla Impacto'!$B$220:$B$222,0))),'Tabla Impacto'!$F$222&amp;"Por favor no seleccionar los criterios de impacto(Criterios para calificar el impacto)",K280)</f>
        <v xml:space="preserve">Responder afirmativamente de DOCE a DIECINUEVE </v>
      </c>
      <c r="M280" s="306" t="str">
        <f>IF(OR(L280='Tabla Impacto'!$C$5),"Moderado",IF(OR(L280='Tabla Impacto'!$C$6),"Mayor",IF(OR(L280='Tabla Impacto'!$C$7),"Catastrófico","")))</f>
        <v>Catastrófico</v>
      </c>
      <c r="N280" s="307">
        <f>IF(M280="","",IF(M280="Leve",0.2,IF(M280="Menor",0.4,IF(M280="Moderado",0.6,IF(M280="Mayor",0.8,IF(M280="Catastrófico",1,))))))</f>
        <v>1</v>
      </c>
      <c r="O280" s="309" t="str">
        <f>IF(OR(AND(I280="Rara vez",M280="Leve"),AND(I280="Rara vez",M280="Menor"),AND(I280="Improbable",M280="Leve")),"Bajo",IF(OR(AND(I280="Rara vez",M280="Moderado"),AND(I280="Improbable",M280="Menor"),AND(I280="Improbable",M280="Moderado"),AND(I280="Posible",M280="Leve"),AND(I280="Posible",M280="Menor"),AND(I280="Posible",M280="Moderado"),AND(I280="Probable",M280="Leve"),AND(I280="Probable",M280="Menor")),"Moderado",IF(OR(AND(I280="Rara vez",M280="Mayor"),AND(I280="Improbable",M280="Mayor"),AND(I280="Posible",M280="Mayor"),AND(I280="Probable",M280="Moderado"),AND(I280="Probable",M280="Mayor"),AND(I280="Casi Seguro",M280="Leve"),AND(I280="Casi Seguro",M280="Menor"),AND(I280="Casi Seguro",M280="Moderado"),AND(I280="Casi Seguro",M280="Mayor")),"Alto",IF(OR(AND(I280="Rara vez",M280="Catastrófico"),AND(I280="Improbable",M280="Catastrófico"),AND(I280="Posible",M280="Catastrófico"),AND(I280="Probable",M280="Catastrófico"),AND(I280="Casi Seguro",M280="Catastrófico")),"Extremo",""))))</f>
        <v>Extremo</v>
      </c>
      <c r="P280" s="168">
        <v>1</v>
      </c>
      <c r="Q280" s="146" t="s">
        <v>585</v>
      </c>
      <c r="R280" s="169" t="str">
        <f>IF(OR(S280="Preventivo",S280="Detectivo"),"Probabilidad",IF(S280="Correctivo","Impacto",""))</f>
        <v>Probabilidad</v>
      </c>
      <c r="S280" s="170" t="s">
        <v>112</v>
      </c>
      <c r="T280" s="170" t="s">
        <v>113</v>
      </c>
      <c r="U280" s="171" t="str">
        <f>IF(AND(S280="Preventivo",T280="Automático"),"50%",IF(AND(S280="Preventivo",T280="Manual"),"40%",IF(AND(S280="Detectivo",T280="Automático"),"40%",IF(AND(S280="Detectivo",T280="Manual"),"30%",IF(AND(S280="Correctivo",T280="Automático"),"35%",IF(AND(S280="Correctivo",T280="Manual"),"25%",""))))))</f>
        <v>40%</v>
      </c>
      <c r="V280" s="170" t="s">
        <v>119</v>
      </c>
      <c r="W280" s="170" t="s">
        <v>115</v>
      </c>
      <c r="X280" s="170" t="s">
        <v>134</v>
      </c>
      <c r="Y280" s="172">
        <f>IFERROR(IF(R280="Probabilidad",(J280-(+J280*U280)),IF(R280="Impacto",J280,"")),"")</f>
        <v>0.12</v>
      </c>
      <c r="Z280" s="173" t="str">
        <f>IFERROR(IF(Y280="","",IF(Y280&lt;=0.2,"Rara vez",IF(Y280&lt;=0.4,"Improbable",IF(Y280&lt;=0.6,"Posible",IF(Y280&lt;=0.8,"Probable","Casi Seguro"))))),"")</f>
        <v>Rara vez</v>
      </c>
      <c r="AA280" s="171">
        <f>+Y280</f>
        <v>0.12</v>
      </c>
      <c r="AB280" s="173" t="str">
        <f>IFERROR(IF(AC280="","",IF(AC280&lt;=0.6,"Moderado",IF(AC280&lt;=0.8,"Mayor","Catastrófico"))),"")</f>
        <v>Catastrófico</v>
      </c>
      <c r="AC280" s="171">
        <f>IFERROR(IF(R280="Impacto",(N280-(+N280*U280)),IF(R280="Probabilidad",N280,"")),"")</f>
        <v>1</v>
      </c>
      <c r="AD280" s="174" t="str">
        <f t="shared" ref="AD280:AD282" si="419">IFERROR(IF(OR(AND(Z280="Rara vez",AB280="Leve"),AND(Z280="Rara vez",AB280="Menor"),AND(Z280="Improbable",AB280="Leve")),"Bajo",IF(OR(AND(Z280="Rara vez",AB280="Moderado"),AND(Z280="Improbable",AB280="Menor"),AND(Z280="Improbable",AB280="Moderado"),AND(Z280="Posible",AB280="Leve"),AND(Z280="Posible",AB280="Menor"),AND(Z280="Posible",AB280="Moderado"),AND(Z280="Probable",AB280="Leve"),AND(Z280="Probable",AB280="Menor")),"Moderado",IF(OR(AND(Z280="Rara vez",AB280="Mayor"),AND(Z280="Improbable",AB280="Mayor"),AND(Z280="Posible",AB280="Mayor"),AND(Z280="Probable",AB280="Moderado"),AND(Z280="Probable",AB280="Mayor"),AND(Z280="Casi Seguro",AB280="Leve"),AND(Z280="Casi Seguro",AB280="Menor"),AND(Z280="Casi Seguro",AB280="Moderado"),AND(Z280="Casi Seguro",AB280="Mayor")),"Alto",IF(OR(AND(Z280="Rara vez",AB280="Catastrófico"),AND(Z280="Improbable",AB280="Catastrófico"),AND(Z280="Posible",AB280="Catastrófico"),AND(Z280="Probable",AB280="Catastrófico"),AND(Z280="Casi Seguro",AB280="Catastrófico")),"Extremo","")))),"")</f>
        <v>Extremo</v>
      </c>
      <c r="AE280" s="170"/>
      <c r="AF280" s="123"/>
      <c r="AG280" s="123"/>
      <c r="AH280" s="175"/>
      <c r="AI280" s="176"/>
      <c r="AJ280" s="177"/>
      <c r="AK280" s="522"/>
      <c r="AL280" s="534"/>
      <c r="AM280" s="534"/>
      <c r="AN280" s="534"/>
      <c r="AO280" s="534"/>
      <c r="AP280" s="534"/>
      <c r="AQ280" s="534"/>
      <c r="AR280" s="534"/>
      <c r="AS280" s="178"/>
      <c r="AT280" s="178"/>
      <c r="AU280" s="178"/>
      <c r="AV280" s="178"/>
      <c r="AW280" s="178"/>
      <c r="AX280" s="178"/>
      <c r="AY280" s="178"/>
      <c r="AZ280" s="178"/>
      <c r="BA280" s="178"/>
      <c r="BB280" s="178"/>
      <c r="BC280" s="178"/>
      <c r="BD280" s="178"/>
      <c r="BE280" s="178"/>
      <c r="BF280" s="178"/>
      <c r="BG280" s="178"/>
      <c r="BH280" s="178"/>
      <c r="BI280" s="178"/>
      <c r="BJ280" s="178"/>
    </row>
    <row r="281" spans="2:62" ht="85.5" customHeight="1" x14ac:dyDescent="0.2">
      <c r="B281" s="310"/>
      <c r="C281" s="311"/>
      <c r="D281" s="312"/>
      <c r="E281" s="313"/>
      <c r="F281" s="313"/>
      <c r="G281" s="304"/>
      <c r="H281" s="305"/>
      <c r="I281" s="306"/>
      <c r="J281" s="307"/>
      <c r="K281" s="308"/>
      <c r="L281" s="307">
        <f>IF(NOT(ISERROR(MATCH(K281,_xlfn.ANCHORARRAY(G531),0))),J533&amp;"Por favor no seleccionar los criterios de impacto",K281)</f>
        <v>0</v>
      </c>
      <c r="M281" s="306"/>
      <c r="N281" s="307"/>
      <c r="O281" s="309"/>
      <c r="P281" s="168">
        <v>2</v>
      </c>
      <c r="Q281" s="146" t="s">
        <v>586</v>
      </c>
      <c r="R281" s="169" t="str">
        <f>IF(OR(S281="Preventivo",S281="Detectivo"),"Probabilidad",IF(S281="Correctivo","Impacto",""))</f>
        <v>Probabilidad</v>
      </c>
      <c r="S281" s="170" t="s">
        <v>133</v>
      </c>
      <c r="T281" s="170" t="s">
        <v>113</v>
      </c>
      <c r="U281" s="171" t="str">
        <f t="shared" ref="U281:U282" si="420">IF(AND(S281="Preventivo",T281="Automático"),"50%",IF(AND(S281="Preventivo",T281="Manual"),"40%",IF(AND(S281="Detectivo",T281="Automático"),"40%",IF(AND(S281="Detectivo",T281="Manual"),"30%",IF(AND(S281="Correctivo",T281="Automático"),"35%",IF(AND(S281="Correctivo",T281="Manual"),"25%",""))))))</f>
        <v>30%</v>
      </c>
      <c r="V281" s="170" t="s">
        <v>119</v>
      </c>
      <c r="W281" s="170" t="s">
        <v>115</v>
      </c>
      <c r="X281" s="170" t="s">
        <v>134</v>
      </c>
      <c r="Y281" s="172">
        <f>IFERROR(IF(AND(R280="Probabilidad",R281="Probabilidad"),(AA280-(+AA280*U281)),IF(R281="Probabilidad",(J280-(+J280*U281)),IF(R281="Impacto",AA280,""))),"")</f>
        <v>8.3999999999999991E-2</v>
      </c>
      <c r="Z281" s="173" t="str">
        <f t="shared" ref="Z281:Z282" si="421">IFERROR(IF(Y281="","",IF(Y281&lt;=0.2,"Rara vez",IF(Y281&lt;=0.4,"Improbable",IF(Y281&lt;=0.6,"Posible",IF(Y281&lt;=0.8,"Probable","Casi Seguro"))))),"")</f>
        <v>Rara vez</v>
      </c>
      <c r="AA281" s="171">
        <f t="shared" ref="AA281:AA282" si="422">+Y281</f>
        <v>8.3999999999999991E-2</v>
      </c>
      <c r="AB281" s="173" t="str">
        <f t="shared" ref="AB281:AB282" si="423">IFERROR(IF(AC281="","",IF(AC281&lt;=0.6,"Moderado",IF(AC281&lt;=0.8,"Mayor","Catastrófico"))),"")</f>
        <v>Catastrófico</v>
      </c>
      <c r="AC281" s="171">
        <f>IFERROR(IF(AND(R280="Impacto",R281="Impacto"),(AC280-(+AC280*U281)),IF(R281="Impacto",(N280-(+N280*U281)),IF(R281="Probabilidad",AC280,""))),"")</f>
        <v>1</v>
      </c>
      <c r="AD281" s="174" t="str">
        <f t="shared" si="419"/>
        <v>Extremo</v>
      </c>
      <c r="AE281" s="170"/>
      <c r="AF281" s="132"/>
      <c r="AG281" s="194"/>
      <c r="AH281" s="195"/>
      <c r="AI281" s="176"/>
      <c r="AJ281" s="181"/>
      <c r="AK281" s="522"/>
      <c r="AL281" s="535"/>
      <c r="AM281" s="535"/>
      <c r="AN281" s="535"/>
      <c r="AO281" s="535"/>
      <c r="AP281" s="535"/>
      <c r="AQ281" s="535"/>
      <c r="AR281" s="535"/>
      <c r="AS281" s="158"/>
      <c r="AT281" s="158"/>
      <c r="AU281" s="158"/>
      <c r="AV281" s="158"/>
      <c r="AW281" s="158"/>
      <c r="AX281" s="158"/>
      <c r="AY281" s="158"/>
      <c r="AZ281" s="158"/>
      <c r="BA281" s="158"/>
      <c r="BB281" s="158"/>
      <c r="BC281" s="158"/>
      <c r="BD281" s="158"/>
      <c r="BE281" s="158"/>
      <c r="BF281" s="158"/>
      <c r="BG281" s="158"/>
      <c r="BH281" s="158"/>
      <c r="BI281" s="158"/>
      <c r="BJ281" s="158"/>
    </row>
    <row r="282" spans="2:62" ht="89.25" x14ac:dyDescent="0.2">
      <c r="B282" s="310"/>
      <c r="C282" s="311"/>
      <c r="D282" s="312"/>
      <c r="E282" s="313"/>
      <c r="F282" s="313"/>
      <c r="G282" s="304"/>
      <c r="H282" s="305"/>
      <c r="I282" s="306"/>
      <c r="J282" s="307"/>
      <c r="K282" s="308"/>
      <c r="L282" s="307">
        <f>IF(NOT(ISERROR(MATCH(K282,_xlfn.ANCHORARRAY(G532),0))),J534&amp;"Por favor no seleccionar los criterios de impacto",K282)</f>
        <v>0</v>
      </c>
      <c r="M282" s="306"/>
      <c r="N282" s="307"/>
      <c r="O282" s="309"/>
      <c r="P282" s="168">
        <v>3</v>
      </c>
      <c r="Q282" s="146" t="s">
        <v>587</v>
      </c>
      <c r="R282" s="169" t="s">
        <v>118</v>
      </c>
      <c r="S282" s="170" t="s">
        <v>133</v>
      </c>
      <c r="T282" s="170" t="s">
        <v>113</v>
      </c>
      <c r="U282" s="171" t="str">
        <f t="shared" si="420"/>
        <v>30%</v>
      </c>
      <c r="V282" s="170" t="s">
        <v>119</v>
      </c>
      <c r="W282" s="170" t="s">
        <v>115</v>
      </c>
      <c r="X282" s="170" t="s">
        <v>134</v>
      </c>
      <c r="Y282" s="172">
        <f>IFERROR(IF(AND(R281="Probabilidad",R282="Probabilidad"),(AA281-(+AA281*U282)),IF(AND(R281="Impacto",R282="Probabilidad"),(AA280-(+AA280*U282)),IF(R282="Impacto",AA281,""))),"")</f>
        <v>5.8799999999999991E-2</v>
      </c>
      <c r="Z282" s="173" t="str">
        <f t="shared" si="421"/>
        <v>Rara vez</v>
      </c>
      <c r="AA282" s="171">
        <f t="shared" si="422"/>
        <v>5.8799999999999991E-2</v>
      </c>
      <c r="AB282" s="173" t="str">
        <f t="shared" si="423"/>
        <v>Catastrófico</v>
      </c>
      <c r="AC282" s="171">
        <f>IFERROR(IF(AND(R281="Impacto",R282="Impacto"),(AC281-(+AC281*U282)),IF(AND(R281="Probabilidad",R282="Impacto"),(AC280-(+AC280*U282)),IF(R282="Probabilidad",AC281,""))),"")</f>
        <v>1</v>
      </c>
      <c r="AD282" s="174" t="str">
        <f t="shared" si="419"/>
        <v>Extremo</v>
      </c>
      <c r="AE282" s="196" t="s">
        <v>120</v>
      </c>
      <c r="AF282" s="136"/>
      <c r="AG282" s="203"/>
      <c r="AH282" s="202"/>
      <c r="AI282" s="187"/>
      <c r="AJ282" s="188"/>
      <c r="AK282" s="523"/>
      <c r="AL282" s="535"/>
      <c r="AM282" s="535"/>
      <c r="AN282" s="535"/>
      <c r="AO282" s="535"/>
      <c r="AP282" s="535"/>
      <c r="AQ282" s="535"/>
      <c r="AR282" s="535"/>
      <c r="AS282" s="158"/>
      <c r="AT282" s="158"/>
      <c r="AU282" s="158"/>
      <c r="AV282" s="158"/>
      <c r="AW282" s="158"/>
      <c r="AX282" s="158"/>
      <c r="AY282" s="158"/>
      <c r="AZ282" s="158"/>
      <c r="BA282" s="158"/>
      <c r="BB282" s="158"/>
      <c r="BC282" s="158"/>
      <c r="BD282" s="158"/>
      <c r="BE282" s="158"/>
      <c r="BF282" s="158"/>
      <c r="BG282" s="158"/>
      <c r="BH282" s="158"/>
      <c r="BI282" s="158"/>
      <c r="BJ282" s="158"/>
    </row>
    <row r="283" spans="2:62" s="163" customFormat="1" ht="65.25" x14ac:dyDescent="0.25">
      <c r="B283" s="357" t="s">
        <v>588</v>
      </c>
      <c r="C283" s="311" t="s">
        <v>148</v>
      </c>
      <c r="D283" s="312" t="s">
        <v>149</v>
      </c>
      <c r="E283" s="313" t="s">
        <v>127</v>
      </c>
      <c r="F283" s="313" t="s">
        <v>589</v>
      </c>
      <c r="G283" s="304" t="s">
        <v>151</v>
      </c>
      <c r="H283" s="305" t="s">
        <v>109</v>
      </c>
      <c r="I283" s="306" t="str">
        <f>IF(H283&lt;=0,"",IF(H283="No se ha presentado en los últimos 5 años","Rara vez",IF(H283="Al menos 1 vez en los últimos 5 años","Improbable",IF(H283="Al menos 1 vez en los últimos 2 años","Posible",IF(H283="Al menos 1 vez en el último año","Probable",IF(H283="Más de 1 vez al año","Casi Seguro"))))))</f>
        <v>Rara vez</v>
      </c>
      <c r="J283" s="307">
        <f>IF(I283="","",IF(I283="Rara vez",0.2,IF(I283="Improbable",0.4,IF(I283="Posible",0.6,IF(I283="Probable",0.8,IF(I283="Casi Seguro",1,))))))</f>
        <v>0.2</v>
      </c>
      <c r="K283" s="308" t="s">
        <v>131</v>
      </c>
      <c r="L283" s="307" t="str">
        <f>IF(NOT(ISERROR(MATCH(K283,'Tabla Impacto'!$B$220:$B$222,0))),'Tabla Impacto'!$F$222&amp;"Por favor no seleccionar los criterios de impacto(Criterios para calificar el impacto)",K283)</f>
        <v xml:space="preserve">Responder afirmativamente de DOCE a DIECINUEVE </v>
      </c>
      <c r="M283" s="306" t="str">
        <f>IF(OR(L283='Tabla Impacto'!$C$5),"Moderado",IF(OR(L283='Tabla Impacto'!$C$6),"Mayor",IF(OR(L283='Tabla Impacto'!$C$7),"Catastrófico","")))</f>
        <v>Catastrófico</v>
      </c>
      <c r="N283" s="307">
        <f>IF(M283="","",IF(M283="Leve",0.2,IF(M283="Menor",0.4,IF(M283="Moderado",0.6,IF(M283="Mayor",0.8,IF(M283="Catastrófico",1,))))))</f>
        <v>1</v>
      </c>
      <c r="O283" s="309" t="str">
        <f>IF(OR(AND(I283="Rara vez",M283="Leve"),AND(I283="Rara vez",M283="Menor"),AND(I283="Improbable",M283="Leve")),"Bajo",IF(OR(AND(I283="Rara vez",M283="Moderado"),AND(I283="Improbable",M283="Menor"),AND(I283="Improbable",M283="Moderado"),AND(I283="Posible",M283="Leve"),AND(I283="Posible",M283="Menor"),AND(I283="Posible",M283="Moderado"),AND(I283="Probable",M283="Leve"),AND(I283="Probable",M283="Menor")),"Moderado",IF(OR(AND(I283="Rara vez",M283="Mayor"),AND(I283="Improbable",M283="Mayor"),AND(I283="Posible",M283="Mayor"),AND(I283="Probable",M283="Moderado"),AND(I283="Probable",M283="Mayor"),AND(I283="Casi Seguro",M283="Leve"),AND(I283="Casi Seguro",M283="Menor"),AND(I283="Casi Seguro",M283="Moderado"),AND(I283="Casi Seguro",M283="Mayor")),"Alto",IF(OR(AND(I283="Rara vez",M283="Catastrófico"),AND(I283="Improbable",M283="Catastrófico"),AND(I283="Posible",M283="Catastrófico"),AND(I283="Probable",M283="Catastrófico"),AND(I283="Casi Seguro",M283="Catastrófico")),"Extremo",""))))</f>
        <v>Extremo</v>
      </c>
      <c r="P283" s="168">
        <v>1</v>
      </c>
      <c r="Q283" s="146" t="s">
        <v>590</v>
      </c>
      <c r="R283" s="169" t="s">
        <v>136</v>
      </c>
      <c r="S283" s="182" t="s">
        <v>137</v>
      </c>
      <c r="T283" s="170" t="s">
        <v>113</v>
      </c>
      <c r="U283" s="171" t="str">
        <f>IF(AND(S283="Preventivo",T283="Automático"),"50%",IF(AND(S283="Preventivo",T283="Manual"),"40%",IF(AND(S283="Detectivo",T283="Automático"),"40%",IF(AND(S283="Detectivo",T283="Manual"),"30%",IF(AND(S283="Correctivo",T283="Automático"),"35%",IF(AND(S283="Correctivo",T283="Manual"),"25%",""))))))</f>
        <v>25%</v>
      </c>
      <c r="V283" s="170" t="s">
        <v>119</v>
      </c>
      <c r="W283" s="170" t="s">
        <v>115</v>
      </c>
      <c r="X283" s="170" t="s">
        <v>134</v>
      </c>
      <c r="Y283" s="172">
        <f>IFERROR(IF(R283="Probabilidad",(J283-(+J283*U283)),IF(R283="Impacto",J283,"")),"")</f>
        <v>0.2</v>
      </c>
      <c r="Z283" s="173" t="str">
        <f>IFERROR(IF(Y283="","",IF(Y283&lt;=0.2,"Rara vez",IF(Y283&lt;=0.4,"Improbable",IF(Y283&lt;=0.6,"Posible",IF(Y283&lt;=0.8,"Probable","Casi Seguro"))))),"")</f>
        <v>Rara vez</v>
      </c>
      <c r="AA283" s="171">
        <f>+Y283</f>
        <v>0.2</v>
      </c>
      <c r="AB283" s="173" t="str">
        <f>IFERROR(IF(AC283="","",IF(AC283&lt;=0.6,"Moderado",IF(AC283&lt;=0.8,"Mayor","Catastrófico"))),"")</f>
        <v>Mayor</v>
      </c>
      <c r="AC283" s="171">
        <f>IFERROR(IF(R283="Impacto",(N283-(+N283*U283)),IF(R283="Probabilidad",N283,"")),"")</f>
        <v>0.75</v>
      </c>
      <c r="AD283" s="174" t="str">
        <f t="shared" ref="AD283" si="424">IFERROR(IF(OR(AND(Z283="Rara vez",AB283="Leve"),AND(Z283="Rara vez",AB283="Menor"),AND(Z283="Improbable",AB283="Leve")),"Bajo",IF(OR(AND(Z283="Rara vez",AB283="Moderado"),AND(Z283="Improbable",AB283="Menor"),AND(Z283="Improbable",AB283="Moderado"),AND(Z283="Posible",AB283="Leve"),AND(Z283="Posible",AB283="Menor"),AND(Z283="Posible",AB283="Moderado"),AND(Z283="Probable",AB283="Leve"),AND(Z283="Probable",AB283="Menor")),"Moderado",IF(OR(AND(Z283="Rara vez",AB283="Mayor"),AND(Z283="Improbable",AB283="Mayor"),AND(Z283="Posible",AB283="Mayor"),AND(Z283="Probable",AB283="Moderado"),AND(Z283="Probable",AB283="Mayor"),AND(Z283="Casi Seguro",AB283="Leve"),AND(Z283="Casi Seguro",AB283="Menor"),AND(Z283="Casi Seguro",AB283="Moderado"),AND(Z283="Casi Seguro",AB283="Mayor")),"Alto",IF(OR(AND(Z283="Rara vez",AB283="Catastrófico"),AND(Z283="Improbable",AB283="Catastrófico"),AND(Z283="Posible",AB283="Catastrófico"),AND(Z283="Probable",AB283="Catastrófico"),AND(Z283="Casi Seguro",AB283="Catastrófico")),"Extremo","")))),"")</f>
        <v>Alto</v>
      </c>
      <c r="AE283" s="170"/>
      <c r="AF283" s="123"/>
      <c r="AG283" s="123"/>
      <c r="AH283" s="175"/>
      <c r="AI283" s="176"/>
      <c r="AJ283" s="177"/>
      <c r="AK283" s="522"/>
      <c r="AL283" s="534"/>
      <c r="AM283" s="534"/>
      <c r="AN283" s="534"/>
      <c r="AO283" s="534"/>
      <c r="AP283" s="534"/>
      <c r="AQ283" s="534"/>
      <c r="AR283" s="534"/>
      <c r="AS283" s="178"/>
      <c r="AT283" s="178"/>
      <c r="AU283" s="178"/>
      <c r="AV283" s="178"/>
      <c r="AW283" s="178"/>
      <c r="AX283" s="178"/>
      <c r="AY283" s="178"/>
      <c r="AZ283" s="178"/>
      <c r="BA283" s="178"/>
      <c r="BB283" s="178"/>
      <c r="BC283" s="178"/>
      <c r="BD283" s="178"/>
      <c r="BE283" s="178"/>
      <c r="BF283" s="178"/>
      <c r="BG283" s="178"/>
      <c r="BH283" s="178"/>
      <c r="BI283" s="178"/>
      <c r="BJ283" s="178"/>
    </row>
    <row r="284" spans="2:62" ht="9.75" customHeight="1" x14ac:dyDescent="0.2">
      <c r="B284" s="310"/>
      <c r="C284" s="311"/>
      <c r="D284" s="312"/>
      <c r="E284" s="313"/>
      <c r="F284" s="313"/>
      <c r="G284" s="304"/>
      <c r="H284" s="305"/>
      <c r="I284" s="306"/>
      <c r="J284" s="307"/>
      <c r="K284" s="308"/>
      <c r="L284" s="307">
        <f>IF(NOT(ISERROR(MATCH(K284,_xlfn.ANCHORARRAY(G531),0))),J533&amp;"Por favor no seleccionar los criterios de impacto",K284)</f>
        <v>0</v>
      </c>
      <c r="M284" s="306"/>
      <c r="N284" s="307"/>
      <c r="O284" s="309"/>
      <c r="P284" s="168">
        <v>2</v>
      </c>
      <c r="Q284" s="146"/>
      <c r="R284" s="169"/>
      <c r="S284" s="170"/>
      <c r="T284" s="170"/>
      <c r="U284" s="171"/>
      <c r="V284" s="170"/>
      <c r="W284" s="170"/>
      <c r="X284" s="170"/>
      <c r="Y284" s="172"/>
      <c r="Z284" s="173"/>
      <c r="AA284" s="171"/>
      <c r="AB284" s="173"/>
      <c r="AC284" s="171"/>
      <c r="AD284" s="174"/>
      <c r="AE284" s="170"/>
      <c r="AF284" s="132"/>
      <c r="AG284" s="194"/>
      <c r="AH284" s="195"/>
      <c r="AI284" s="176"/>
      <c r="AJ284" s="181"/>
      <c r="AK284" s="522"/>
      <c r="AL284" s="535"/>
      <c r="AM284" s="535"/>
      <c r="AN284" s="535"/>
      <c r="AO284" s="535"/>
      <c r="AP284" s="535"/>
      <c r="AQ284" s="535"/>
      <c r="AR284" s="535"/>
      <c r="AS284" s="158"/>
      <c r="AT284" s="158"/>
      <c r="AU284" s="158"/>
      <c r="AV284" s="158"/>
      <c r="AW284" s="158"/>
      <c r="AX284" s="158"/>
      <c r="AY284" s="158"/>
      <c r="AZ284" s="158"/>
      <c r="BA284" s="158"/>
      <c r="BB284" s="158"/>
      <c r="BC284" s="158"/>
      <c r="BD284" s="158"/>
      <c r="BE284" s="158"/>
      <c r="BF284" s="158"/>
      <c r="BG284" s="158"/>
      <c r="BH284" s="158"/>
      <c r="BI284" s="158"/>
      <c r="BJ284" s="158"/>
    </row>
    <row r="285" spans="2:62" ht="12" customHeight="1" x14ac:dyDescent="0.2">
      <c r="B285" s="310"/>
      <c r="C285" s="311"/>
      <c r="D285" s="312"/>
      <c r="E285" s="313"/>
      <c r="F285" s="313"/>
      <c r="G285" s="304"/>
      <c r="H285" s="305"/>
      <c r="I285" s="306"/>
      <c r="J285" s="307"/>
      <c r="K285" s="308"/>
      <c r="L285" s="307">
        <f>IF(NOT(ISERROR(MATCH(K285,_xlfn.ANCHORARRAY(G532),0))),J534&amp;"Por favor no seleccionar los criterios de impacto",K285)</f>
        <v>0</v>
      </c>
      <c r="M285" s="306"/>
      <c r="N285" s="307"/>
      <c r="O285" s="309"/>
      <c r="P285" s="168">
        <v>3</v>
      </c>
      <c r="Q285" s="146"/>
      <c r="R285" s="169"/>
      <c r="S285" s="182"/>
      <c r="T285" s="170"/>
      <c r="U285" s="171"/>
      <c r="V285" s="170"/>
      <c r="W285" s="170"/>
      <c r="X285" s="170"/>
      <c r="Y285" s="172"/>
      <c r="Z285" s="173"/>
      <c r="AA285" s="171"/>
      <c r="AB285" s="173"/>
      <c r="AC285" s="171"/>
      <c r="AD285" s="174"/>
      <c r="AE285" s="196"/>
      <c r="AF285" s="136"/>
      <c r="AG285" s="203"/>
      <c r="AH285" s="202"/>
      <c r="AI285" s="187"/>
      <c r="AJ285" s="188"/>
      <c r="AK285" s="523"/>
      <c r="AL285" s="535"/>
      <c r="AM285" s="535"/>
      <c r="AN285" s="535"/>
      <c r="AO285" s="535"/>
      <c r="AP285" s="535"/>
      <c r="AQ285" s="535"/>
      <c r="AR285" s="535"/>
      <c r="AS285" s="158"/>
      <c r="AT285" s="158"/>
      <c r="AU285" s="158"/>
      <c r="AV285" s="158"/>
      <c r="AW285" s="158"/>
      <c r="AX285" s="158"/>
      <c r="AY285" s="158"/>
      <c r="AZ285" s="158"/>
      <c r="BA285" s="158"/>
      <c r="BB285" s="158"/>
      <c r="BC285" s="158"/>
      <c r="BD285" s="158"/>
      <c r="BE285" s="158"/>
      <c r="BF285" s="158"/>
      <c r="BG285" s="158"/>
      <c r="BH285" s="158"/>
      <c r="BI285" s="158"/>
      <c r="BJ285" s="158"/>
    </row>
    <row r="286" spans="2:62" s="163" customFormat="1" ht="76.5" x14ac:dyDescent="0.25">
      <c r="B286" s="310" t="s">
        <v>591</v>
      </c>
      <c r="C286" s="311" t="s">
        <v>359</v>
      </c>
      <c r="D286" s="312" t="s">
        <v>592</v>
      </c>
      <c r="E286" s="313" t="s">
        <v>127</v>
      </c>
      <c r="F286" s="313" t="s">
        <v>593</v>
      </c>
      <c r="G286" s="304" t="s">
        <v>513</v>
      </c>
      <c r="H286" s="305" t="s">
        <v>109</v>
      </c>
      <c r="I286" s="306" t="str">
        <f>IF(H286&lt;=0,"",IF(H286="No se ha presentado en los últimos 5 años","Rara vez",IF(H286="Al menos 1 vez en los últimos 5 años","Improbable",IF(H286="Al menos 1 vez en los últimos 2 años","Posible",IF(H286="Al menos 1 vez en el último año","Probable",IF(H286="Más de 1 vez al año","Casi Seguro"))))))</f>
        <v>Rara vez</v>
      </c>
      <c r="J286" s="307">
        <f>IF(I286="","",IF(I286="Rara vez",0.2,IF(I286="Improbable",0.4,IF(I286="Posible",0.6,IF(I286="Probable",0.8,IF(I286="Casi Seguro",1,))))))</f>
        <v>0.2</v>
      </c>
      <c r="K286" s="308" t="s">
        <v>131</v>
      </c>
      <c r="L286" s="307" t="str">
        <f>IF(NOT(ISERROR(MATCH(K286,'Tabla Impacto'!$B$220:$B$222,0))),'Tabla Impacto'!$F$222&amp;"Por favor no seleccionar los criterios de impacto(Criterios para calificar el impacto)",K286)</f>
        <v xml:space="preserve">Responder afirmativamente de DOCE a DIECINUEVE </v>
      </c>
      <c r="M286" s="306" t="str">
        <f>IF(OR(L286='Tabla Impacto'!$C$5),"Moderado",IF(OR(L286='Tabla Impacto'!$C$6),"Mayor",IF(OR(L286='Tabla Impacto'!$C$7),"Catastrófico","")))</f>
        <v>Catastrófico</v>
      </c>
      <c r="N286" s="307">
        <f>IF(M286="","",IF(M286="Leve",0.2,IF(M286="Menor",0.4,IF(M286="Moderado",0.6,IF(M286="Mayor",0.8,IF(M286="Catastrófico",1,))))))</f>
        <v>1</v>
      </c>
      <c r="O286" s="309" t="str">
        <f>IF(OR(AND(I286="Rara vez",M286="Leve"),AND(I286="Rara vez",M286="Menor"),AND(I286="Improbable",M286="Leve")),"Bajo",IF(OR(AND(I286="Rara vez",M286="Moderado"),AND(I286="Improbable",M286="Menor"),AND(I286="Improbable",M286="Moderado"),AND(I286="Posible",M286="Leve"),AND(I286="Posible",M286="Menor"),AND(I286="Posible",M286="Moderado"),AND(I286="Probable",M286="Leve"),AND(I286="Probable",M286="Menor")),"Moderado",IF(OR(AND(I286="Rara vez",M286="Mayor"),AND(I286="Improbable",M286="Mayor"),AND(I286="Posible",M286="Mayor"),AND(I286="Probable",M286="Moderado"),AND(I286="Probable",M286="Mayor"),AND(I286="Casi Seguro",M286="Leve"),AND(I286="Casi Seguro",M286="Menor"),AND(I286="Casi Seguro",M286="Moderado"),AND(I286="Casi Seguro",M286="Mayor")),"Alto",IF(OR(AND(I286="Rara vez",M286="Catastrófico"),AND(I286="Improbable",M286="Catastrófico"),AND(I286="Posible",M286="Catastrófico"),AND(I286="Probable",M286="Catastrófico"),AND(I286="Casi Seguro",M286="Catastrófico")),"Extremo",""))))</f>
        <v>Extremo</v>
      </c>
      <c r="P286" s="168">
        <v>1</v>
      </c>
      <c r="Q286" s="123" t="s">
        <v>594</v>
      </c>
      <c r="R286" s="169" t="s">
        <v>118</v>
      </c>
      <c r="S286" s="170" t="s">
        <v>112</v>
      </c>
      <c r="T286" s="170" t="s">
        <v>113</v>
      </c>
      <c r="U286" s="171" t="str">
        <f>IF(AND(S286="Preventivo",T286="Automático"),"50%",IF(AND(S286="Preventivo",T286="Manual"),"40%",IF(AND(S286="Detectivo",T286="Automático"),"40%",IF(AND(S286="Detectivo",T286="Manual"),"30%",IF(AND(S286="Correctivo",T286="Automático"),"35%",IF(AND(S286="Correctivo",T286="Manual"),"25%",""))))))</f>
        <v>40%</v>
      </c>
      <c r="V286" s="170" t="s">
        <v>119</v>
      </c>
      <c r="W286" s="170" t="s">
        <v>115</v>
      </c>
      <c r="X286" s="170" t="s">
        <v>134</v>
      </c>
      <c r="Y286" s="172">
        <f>IFERROR(IF(R286="Probabilidad",(J286-(+J286*U286)),IF(R286="Impacto",J286,"")),"")</f>
        <v>0.12</v>
      </c>
      <c r="Z286" s="173" t="str">
        <f>IFERROR(IF(Y286="","",IF(Y286&lt;=0.2,"Rara vez",IF(Y286&lt;=0.4,"Improbable",IF(Y286&lt;=0.6,"Posible",IF(Y286&lt;=0.8,"Probable","Casi Seguro"))))),"")</f>
        <v>Rara vez</v>
      </c>
      <c r="AA286" s="171">
        <f>+Y286</f>
        <v>0.12</v>
      </c>
      <c r="AB286" s="173" t="str">
        <f>IFERROR(IF(AC286="","",IF(AC286&lt;=0.6,"Moderado",IF(AC286&lt;=0.8,"Mayor","Catastrófico"))),"")</f>
        <v>Catastrófico</v>
      </c>
      <c r="AC286" s="171">
        <f>IFERROR(IF(R286="Impacto",(N286-(+N286*U286)),IF(R286="Probabilidad",N286,"")),"")</f>
        <v>1</v>
      </c>
      <c r="AD286" s="174" t="str">
        <f t="shared" ref="AD286:AD287" si="425">IFERROR(IF(OR(AND(Z286="Rara vez",AB286="Leve"),AND(Z286="Rara vez",AB286="Menor"),AND(Z286="Improbable",AB286="Leve")),"Bajo",IF(OR(AND(Z286="Rara vez",AB286="Moderado"),AND(Z286="Improbable",AB286="Menor"),AND(Z286="Improbable",AB286="Moderado"),AND(Z286="Posible",AB286="Leve"),AND(Z286="Posible",AB286="Menor"),AND(Z286="Posible",AB286="Moderado"),AND(Z286="Probable",AB286="Leve"),AND(Z286="Probable",AB286="Menor")),"Moderado",IF(OR(AND(Z286="Rara vez",AB286="Mayor"),AND(Z286="Improbable",AB286="Mayor"),AND(Z286="Posible",AB286="Mayor"),AND(Z286="Probable",AB286="Moderado"),AND(Z286="Probable",AB286="Mayor"),AND(Z286="Casi Seguro",AB286="Leve"),AND(Z286="Casi Seguro",AB286="Menor"),AND(Z286="Casi Seguro",AB286="Moderado"),AND(Z286="Casi Seguro",AB286="Mayor")),"Alto",IF(OR(AND(Z286="Rara vez",AB286="Catastrófico"),AND(Z286="Improbable",AB286="Catastrófico"),AND(Z286="Posible",AB286="Catastrófico"),AND(Z286="Probable",AB286="Catastrófico"),AND(Z286="Casi Seguro",AB286="Catastrófico")),"Extremo","")))),"")</f>
        <v>Extremo</v>
      </c>
      <c r="AE286" s="170"/>
      <c r="AF286" s="123"/>
      <c r="AG286" s="123"/>
      <c r="AH286" s="175"/>
      <c r="AI286" s="176"/>
      <c r="AJ286" s="177"/>
      <c r="AK286" s="522"/>
      <c r="AL286" s="534"/>
      <c r="AM286" s="534"/>
      <c r="AN286" s="534"/>
      <c r="AO286" s="534"/>
      <c r="AP286" s="534"/>
      <c r="AQ286" s="534"/>
      <c r="AR286" s="534"/>
      <c r="AS286" s="178"/>
      <c r="AT286" s="178"/>
      <c r="AU286" s="178"/>
      <c r="AV286" s="178"/>
      <c r="AW286" s="178"/>
      <c r="AX286" s="178"/>
      <c r="AY286" s="178"/>
      <c r="AZ286" s="178"/>
      <c r="BA286" s="178"/>
      <c r="BB286" s="178"/>
      <c r="BC286" s="178"/>
      <c r="BD286" s="178"/>
      <c r="BE286" s="178"/>
      <c r="BF286" s="178"/>
      <c r="BG286" s="178"/>
      <c r="BH286" s="178"/>
      <c r="BI286" s="178"/>
      <c r="BJ286" s="178"/>
    </row>
    <row r="287" spans="2:62" ht="76.5" x14ac:dyDescent="0.2">
      <c r="B287" s="310"/>
      <c r="C287" s="311"/>
      <c r="D287" s="312"/>
      <c r="E287" s="313"/>
      <c r="F287" s="313"/>
      <c r="G287" s="304"/>
      <c r="H287" s="305"/>
      <c r="I287" s="306"/>
      <c r="J287" s="307"/>
      <c r="K287" s="308"/>
      <c r="L287" s="307">
        <f>IF(NOT(ISERROR(MATCH(K287,_xlfn.ANCHORARRAY(G534),0))),J536&amp;"Por favor no seleccionar los criterios de impacto",K287)</f>
        <v>0</v>
      </c>
      <c r="M287" s="306"/>
      <c r="N287" s="307"/>
      <c r="O287" s="309"/>
      <c r="P287" s="168">
        <v>2</v>
      </c>
      <c r="Q287" s="123" t="s">
        <v>595</v>
      </c>
      <c r="R287" s="169" t="str">
        <f>IF(OR(S287="Preventivo",S287="Detectivo"),"Probabilidad",IF(S287="Correctivo","Impacto",""))</f>
        <v>Probabilidad</v>
      </c>
      <c r="S287" s="170" t="s">
        <v>133</v>
      </c>
      <c r="T287" s="170" t="s">
        <v>113</v>
      </c>
      <c r="U287" s="171" t="str">
        <f t="shared" ref="U287" si="426">IF(AND(S287="Preventivo",T287="Automático"),"50%",IF(AND(S287="Preventivo",T287="Manual"),"40%",IF(AND(S287="Detectivo",T287="Automático"),"40%",IF(AND(S287="Detectivo",T287="Manual"),"30%",IF(AND(S287="Correctivo",T287="Automático"),"35%",IF(AND(S287="Correctivo",T287="Manual"),"25%",""))))))</f>
        <v>30%</v>
      </c>
      <c r="V287" s="170" t="s">
        <v>114</v>
      </c>
      <c r="W287" s="170" t="s">
        <v>115</v>
      </c>
      <c r="X287" s="170" t="s">
        <v>134</v>
      </c>
      <c r="Y287" s="172">
        <f>IFERROR(IF(AND(R286="Probabilidad",R287="Probabilidad"),(AA286-(+AA286*U287)),IF(R287="Probabilidad",(J286-(+J286*U287)),IF(R287="Impacto",AA286,""))),"")</f>
        <v>8.3999999999999991E-2</v>
      </c>
      <c r="Z287" s="173" t="str">
        <f t="shared" ref="Z287" si="427">IFERROR(IF(Y287="","",IF(Y287&lt;=0.2,"Rara vez",IF(Y287&lt;=0.4,"Improbable",IF(Y287&lt;=0.6,"Posible",IF(Y287&lt;=0.8,"Probable","Casi Seguro"))))),"")</f>
        <v>Rara vez</v>
      </c>
      <c r="AA287" s="171">
        <f t="shared" ref="AA287" si="428">+Y287</f>
        <v>8.3999999999999991E-2</v>
      </c>
      <c r="AB287" s="173" t="str">
        <f t="shared" ref="AB287" si="429">IFERROR(IF(AC287="","",IF(AC287&lt;=0.6,"Moderado",IF(AC287&lt;=0.8,"Mayor","Catastrófico"))),"")</f>
        <v>Catastrófico</v>
      </c>
      <c r="AC287" s="171">
        <f>IFERROR(IF(AND(R286="Impacto",R287="Impacto"),(AC286-(+AC286*U287)),IF(R287="Impacto",(N286-(+N286*U287)),IF(R287="Probabilidad",AC286,""))),"")</f>
        <v>1</v>
      </c>
      <c r="AD287" s="174" t="str">
        <f t="shared" si="425"/>
        <v>Extremo</v>
      </c>
      <c r="AE287" s="170" t="s">
        <v>120</v>
      </c>
      <c r="AF287" s="132"/>
      <c r="AG287" s="194"/>
      <c r="AH287" s="195"/>
      <c r="AI287" s="176"/>
      <c r="AJ287" s="181"/>
      <c r="AK287" s="522"/>
      <c r="AL287" s="535"/>
      <c r="AM287" s="535"/>
      <c r="AN287" s="535"/>
      <c r="AO287" s="535"/>
      <c r="AP287" s="535"/>
      <c r="AQ287" s="535"/>
      <c r="AR287" s="535"/>
      <c r="AS287" s="158"/>
      <c r="AT287" s="158"/>
      <c r="AU287" s="158"/>
      <c r="AV287" s="158"/>
      <c r="AW287" s="158"/>
      <c r="AX287" s="158"/>
      <c r="AY287" s="158"/>
      <c r="AZ287" s="158"/>
      <c r="BA287" s="158"/>
      <c r="BB287" s="158"/>
      <c r="BC287" s="158"/>
      <c r="BD287" s="158"/>
      <c r="BE287" s="158"/>
      <c r="BF287" s="158"/>
      <c r="BG287" s="158"/>
      <c r="BH287" s="158"/>
      <c r="BI287" s="158"/>
      <c r="BJ287" s="158"/>
    </row>
    <row r="288" spans="2:62" x14ac:dyDescent="0.2">
      <c r="B288" s="310"/>
      <c r="C288" s="311"/>
      <c r="D288" s="312"/>
      <c r="E288" s="313"/>
      <c r="F288" s="313"/>
      <c r="G288" s="304"/>
      <c r="H288" s="305"/>
      <c r="I288" s="306"/>
      <c r="J288" s="307"/>
      <c r="K288" s="308"/>
      <c r="L288" s="307">
        <f>IF(NOT(ISERROR(MATCH(K288,_xlfn.ANCHORARRAY(G535),0))),J537&amp;"Por favor no seleccionar los criterios de impacto",K288)</f>
        <v>0</v>
      </c>
      <c r="M288" s="306"/>
      <c r="N288" s="307"/>
      <c r="O288" s="309"/>
      <c r="P288" s="168">
        <v>3</v>
      </c>
      <c r="Q288" s="146"/>
      <c r="R288" s="169"/>
      <c r="S288" s="182"/>
      <c r="T288" s="170"/>
      <c r="U288" s="171"/>
      <c r="V288" s="170"/>
      <c r="W288" s="170"/>
      <c r="X288" s="170"/>
      <c r="Y288" s="172"/>
      <c r="Z288" s="173"/>
      <c r="AA288" s="171"/>
      <c r="AB288" s="173"/>
      <c r="AC288" s="171"/>
      <c r="AD288" s="174"/>
      <c r="AE288" s="196"/>
      <c r="AF288" s="136"/>
      <c r="AG288" s="203"/>
      <c r="AH288" s="202"/>
      <c r="AI288" s="187"/>
      <c r="AJ288" s="188"/>
      <c r="AK288" s="523"/>
      <c r="AL288" s="535"/>
      <c r="AM288" s="535"/>
      <c r="AN288" s="535"/>
      <c r="AO288" s="535"/>
      <c r="AP288" s="535"/>
      <c r="AQ288" s="535"/>
      <c r="AR288" s="535"/>
      <c r="AS288" s="158"/>
      <c r="AT288" s="158"/>
      <c r="AU288" s="158"/>
      <c r="AV288" s="158"/>
      <c r="AW288" s="158"/>
      <c r="AX288" s="158"/>
      <c r="AY288" s="158"/>
      <c r="AZ288" s="158"/>
      <c r="BA288" s="158"/>
      <c r="BB288" s="158"/>
      <c r="BC288" s="158"/>
      <c r="BD288" s="158"/>
      <c r="BE288" s="158"/>
      <c r="BF288" s="158"/>
      <c r="BG288" s="158"/>
      <c r="BH288" s="158"/>
      <c r="BI288" s="158"/>
      <c r="BJ288" s="158"/>
    </row>
    <row r="289" spans="2:62" s="163" customFormat="1" ht="65.25" x14ac:dyDescent="0.25">
      <c r="B289" s="310" t="s">
        <v>596</v>
      </c>
      <c r="C289" s="311" t="s">
        <v>359</v>
      </c>
      <c r="D289" s="312" t="s">
        <v>597</v>
      </c>
      <c r="E289" s="313" t="s">
        <v>127</v>
      </c>
      <c r="F289" s="313" t="s">
        <v>598</v>
      </c>
      <c r="G289" s="304" t="s">
        <v>599</v>
      </c>
      <c r="H289" s="305" t="s">
        <v>109</v>
      </c>
      <c r="I289" s="306" t="str">
        <f>IF(H289&lt;=0,"",IF(H289="No se ha presentado en los últimos 5 años","Rara vez",IF(H289="Al menos 1 vez en los últimos 5 años","Improbable",IF(H289="Al menos 1 vez en los últimos 2 años","Posible",IF(H289="Al menos 1 vez en el último año","Probable",IF(H289="Más de 1 vez al año","Casi Seguro"))))))</f>
        <v>Rara vez</v>
      </c>
      <c r="J289" s="307">
        <f>IF(I289="","",IF(I289="Rara vez",0.2,IF(I289="Improbable",0.4,IF(I289="Posible",0.6,IF(I289="Probable",0.8,IF(I289="Casi Seguro",1,))))))</f>
        <v>0.2</v>
      </c>
      <c r="K289" s="308" t="s">
        <v>131</v>
      </c>
      <c r="L289" s="307" t="str">
        <f>IF(NOT(ISERROR(MATCH(K289,'Tabla Impacto'!$B$220:$B$222,0))),'Tabla Impacto'!$F$222&amp;"Por favor no seleccionar los criterios de impacto(Criterios para calificar el impacto)",K289)</f>
        <v xml:space="preserve">Responder afirmativamente de DOCE a DIECINUEVE </v>
      </c>
      <c r="M289" s="306" t="str">
        <f>IF(OR(L289='Tabla Impacto'!$C$5),"Moderado",IF(OR(L289='Tabla Impacto'!$C$6),"Mayor",IF(OR(L289='Tabla Impacto'!$C$7),"Catastrófico","")))</f>
        <v>Catastrófico</v>
      </c>
      <c r="N289" s="307">
        <f>IF(M289="","",IF(M289="Leve",0.2,IF(M289="Menor",0.4,IF(M289="Moderado",0.6,IF(M289="Mayor",0.8,IF(M289="Catastrófico",1,))))))</f>
        <v>1</v>
      </c>
      <c r="O289" s="309" t="str">
        <f>IF(OR(AND(I289="Rara vez",M289="Leve"),AND(I289="Rara vez",M289="Menor"),AND(I289="Improbable",M289="Leve")),"Bajo",IF(OR(AND(I289="Rara vez",M289="Moderado"),AND(I289="Improbable",M289="Menor"),AND(I289="Improbable",M289="Moderado"),AND(I289="Posible",M289="Leve"),AND(I289="Posible",M289="Menor"),AND(I289="Posible",M289="Moderado"),AND(I289="Probable",M289="Leve"),AND(I289="Probable",M289="Menor")),"Moderado",IF(OR(AND(I289="Rara vez",M289="Mayor"),AND(I289="Improbable",M289="Mayor"),AND(I289="Posible",M289="Mayor"),AND(I289="Probable",M289="Moderado"),AND(I289="Probable",M289="Mayor"),AND(I289="Casi Seguro",M289="Leve"),AND(I289="Casi Seguro",M289="Menor"),AND(I289="Casi Seguro",M289="Moderado"),AND(I289="Casi Seguro",M289="Mayor")),"Alto",IF(OR(AND(I289="Rara vez",M289="Catastrófico"),AND(I289="Improbable",M289="Catastrófico"),AND(I289="Posible",M289="Catastrófico"),AND(I289="Probable",M289="Catastrófico"),AND(I289="Casi Seguro",M289="Catastrófico")),"Extremo",""))))</f>
        <v>Extremo</v>
      </c>
      <c r="P289" s="168">
        <v>1</v>
      </c>
      <c r="Q289" s="123" t="s">
        <v>600</v>
      </c>
      <c r="R289" s="169" t="str">
        <f>IF(OR(S289="Preventivo",S289="Detectivo"),"Probabilidad",IF(S289="Correctivo","Impacto",""))</f>
        <v>Probabilidad</v>
      </c>
      <c r="S289" s="170" t="s">
        <v>112</v>
      </c>
      <c r="T289" s="170" t="s">
        <v>113</v>
      </c>
      <c r="U289" s="171" t="str">
        <f>IF(AND(S289="Preventivo",T289="Automático"),"50%",IF(AND(S289="Preventivo",T289="Manual"),"40%",IF(AND(S289="Detectivo",T289="Automático"),"40%",IF(AND(S289="Detectivo",T289="Manual"),"30%",IF(AND(S289="Correctivo",T289="Automático"),"35%",IF(AND(S289="Correctivo",T289="Manual"),"25%",""))))))</f>
        <v>40%</v>
      </c>
      <c r="V289" s="170" t="s">
        <v>119</v>
      </c>
      <c r="W289" s="170" t="s">
        <v>115</v>
      </c>
      <c r="X289" s="170" t="s">
        <v>134</v>
      </c>
      <c r="Y289" s="172">
        <f>IFERROR(IF(R289="Probabilidad",(J289-(+J289*U289)),IF(R289="Impacto",J289,"")),"")</f>
        <v>0.12</v>
      </c>
      <c r="Z289" s="173" t="str">
        <f>IFERROR(IF(Y289="","",IF(Y289&lt;=0.2,"Rara vez",IF(Y289&lt;=0.4,"Improbable",IF(Y289&lt;=0.6,"Posible",IF(Y289&lt;=0.8,"Probable","Casi Seguro"))))),"")</f>
        <v>Rara vez</v>
      </c>
      <c r="AA289" s="171">
        <f>+Y289</f>
        <v>0.12</v>
      </c>
      <c r="AB289" s="173" t="str">
        <f>IFERROR(IF(AC289="","",IF(AC289&lt;=0.6,"Moderado",IF(AC289&lt;=0.8,"Mayor","Catastrófico"))),"")</f>
        <v>Catastrófico</v>
      </c>
      <c r="AC289" s="171">
        <f>IFERROR(IF(R289="Impacto",(N289-(+N289*U289)),IF(R289="Probabilidad",N289,"")),"")</f>
        <v>1</v>
      </c>
      <c r="AD289" s="174" t="str">
        <f t="shared" ref="AD289:AD290" si="430">IFERROR(IF(OR(AND(Z289="Rara vez",AB289="Leve"),AND(Z289="Rara vez",AB289="Menor"),AND(Z289="Improbable",AB289="Leve")),"Bajo",IF(OR(AND(Z289="Rara vez",AB289="Moderado"),AND(Z289="Improbable",AB289="Menor"),AND(Z289="Improbable",AB289="Moderado"),AND(Z289="Posible",AB289="Leve"),AND(Z289="Posible",AB289="Menor"),AND(Z289="Posible",AB289="Moderado"),AND(Z289="Probable",AB289="Leve"),AND(Z289="Probable",AB289="Menor")),"Moderado",IF(OR(AND(Z289="Rara vez",AB289="Mayor"),AND(Z289="Improbable",AB289="Mayor"),AND(Z289="Posible",AB289="Mayor"),AND(Z289="Probable",AB289="Moderado"),AND(Z289="Probable",AB289="Mayor"),AND(Z289="Casi Seguro",AB289="Leve"),AND(Z289="Casi Seguro",AB289="Menor"),AND(Z289="Casi Seguro",AB289="Moderado"),AND(Z289="Casi Seguro",AB289="Mayor")),"Alto",IF(OR(AND(Z289="Rara vez",AB289="Catastrófico"),AND(Z289="Improbable",AB289="Catastrófico"),AND(Z289="Posible",AB289="Catastrófico"),AND(Z289="Probable",AB289="Catastrófico"),AND(Z289="Casi Seguro",AB289="Catastrófico")),"Extremo","")))),"")</f>
        <v>Extremo</v>
      </c>
      <c r="AE289" s="170"/>
      <c r="AF289" s="123"/>
      <c r="AG289" s="123"/>
      <c r="AH289" s="175"/>
      <c r="AI289" s="176"/>
      <c r="AJ289" s="177"/>
      <c r="AK289" s="522"/>
      <c r="AL289" s="534"/>
      <c r="AM289" s="534"/>
      <c r="AN289" s="534"/>
      <c r="AO289" s="534"/>
      <c r="AP289" s="534"/>
      <c r="AQ289" s="534"/>
      <c r="AR289" s="534"/>
      <c r="AS289" s="178"/>
      <c r="AT289" s="178"/>
      <c r="AU289" s="178"/>
      <c r="AV289" s="178"/>
      <c r="AW289" s="178"/>
      <c r="AX289" s="178"/>
      <c r="AY289" s="178"/>
      <c r="AZ289" s="178"/>
      <c r="BA289" s="178"/>
      <c r="BB289" s="178"/>
      <c r="BC289" s="178"/>
      <c r="BD289" s="178"/>
      <c r="BE289" s="178"/>
      <c r="BF289" s="178"/>
      <c r="BG289" s="178"/>
      <c r="BH289" s="178"/>
      <c r="BI289" s="178"/>
      <c r="BJ289" s="178"/>
    </row>
    <row r="290" spans="2:62" ht="99" customHeight="1" x14ac:dyDescent="0.2">
      <c r="B290" s="310"/>
      <c r="C290" s="311"/>
      <c r="D290" s="312"/>
      <c r="E290" s="313"/>
      <c r="F290" s="313"/>
      <c r="G290" s="304"/>
      <c r="H290" s="305"/>
      <c r="I290" s="306"/>
      <c r="J290" s="307"/>
      <c r="K290" s="308"/>
      <c r="L290" s="307">
        <f>IF(NOT(ISERROR(MATCH(K290,_xlfn.ANCHORARRAY(G537),0))),J539&amp;"Por favor no seleccionar los criterios de impacto",K290)</f>
        <v>0</v>
      </c>
      <c r="M290" s="306"/>
      <c r="N290" s="307"/>
      <c r="O290" s="309"/>
      <c r="P290" s="168">
        <v>2</v>
      </c>
      <c r="Q290" s="123" t="s">
        <v>601</v>
      </c>
      <c r="R290" s="169" t="str">
        <f>IF(OR(S290="Preventivo",S290="Detectivo"),"Probabilidad",IF(S290="Correctivo","Impacto",""))</f>
        <v>Probabilidad</v>
      </c>
      <c r="S290" s="170" t="s">
        <v>112</v>
      </c>
      <c r="T290" s="170" t="s">
        <v>113</v>
      </c>
      <c r="U290" s="171" t="str">
        <f t="shared" ref="U290" si="431">IF(AND(S290="Preventivo",T290="Automático"),"50%",IF(AND(S290="Preventivo",T290="Manual"),"40%",IF(AND(S290="Detectivo",T290="Automático"),"40%",IF(AND(S290="Detectivo",T290="Manual"),"30%",IF(AND(S290="Correctivo",T290="Automático"),"35%",IF(AND(S290="Correctivo",T290="Manual"),"25%",""))))))</f>
        <v>40%</v>
      </c>
      <c r="V290" s="170" t="s">
        <v>114</v>
      </c>
      <c r="W290" s="170" t="s">
        <v>115</v>
      </c>
      <c r="X290" s="170" t="s">
        <v>134</v>
      </c>
      <c r="Y290" s="172">
        <f>IFERROR(IF(AND(R289="Probabilidad",R290="Probabilidad"),(AA289-(+AA289*U290)),IF(R290="Probabilidad",(J289-(+J289*U290)),IF(R290="Impacto",AA289,""))),"")</f>
        <v>7.1999999999999995E-2</v>
      </c>
      <c r="Z290" s="173" t="str">
        <f t="shared" ref="Z290" si="432">IFERROR(IF(Y290="","",IF(Y290&lt;=0.2,"Rara vez",IF(Y290&lt;=0.4,"Improbable",IF(Y290&lt;=0.6,"Posible",IF(Y290&lt;=0.8,"Probable","Casi Seguro"))))),"")</f>
        <v>Rara vez</v>
      </c>
      <c r="AA290" s="171">
        <f t="shared" ref="AA290" si="433">+Y290</f>
        <v>7.1999999999999995E-2</v>
      </c>
      <c r="AB290" s="173" t="str">
        <f t="shared" ref="AB290" si="434">IFERROR(IF(AC290="","",IF(AC290&lt;=0.6,"Moderado",IF(AC290&lt;=0.8,"Mayor","Catastrófico"))),"")</f>
        <v>Catastrófico</v>
      </c>
      <c r="AC290" s="171">
        <f>IFERROR(IF(AND(R289="Impacto",R290="Impacto"),(AC289-(+AC289*U290)),IF(R290="Impacto",(N289-(+N289*U290)),IF(R290="Probabilidad",AC289,""))),"")</f>
        <v>1</v>
      </c>
      <c r="AD290" s="174" t="str">
        <f t="shared" si="430"/>
        <v>Extremo</v>
      </c>
      <c r="AE290" s="170" t="s">
        <v>120</v>
      </c>
      <c r="AF290" s="132"/>
      <c r="AG290" s="194"/>
      <c r="AH290" s="195"/>
      <c r="AI290" s="176"/>
      <c r="AJ290" s="181"/>
      <c r="AK290" s="522"/>
      <c r="AL290" s="535"/>
      <c r="AM290" s="535"/>
      <c r="AN290" s="535"/>
      <c r="AO290" s="535"/>
      <c r="AP290" s="535"/>
      <c r="AQ290" s="535"/>
      <c r="AR290" s="535"/>
      <c r="AS290" s="158"/>
      <c r="AT290" s="158"/>
      <c r="AU290" s="158"/>
      <c r="AV290" s="158"/>
      <c r="AW290" s="158"/>
      <c r="AX290" s="158"/>
      <c r="AY290" s="158"/>
      <c r="AZ290" s="158"/>
      <c r="BA290" s="158"/>
      <c r="BB290" s="158"/>
      <c r="BC290" s="158"/>
      <c r="BD290" s="158"/>
      <c r="BE290" s="158"/>
      <c r="BF290" s="158"/>
      <c r="BG290" s="158"/>
      <c r="BH290" s="158"/>
      <c r="BI290" s="158"/>
      <c r="BJ290" s="158"/>
    </row>
    <row r="291" spans="2:62" x14ac:dyDescent="0.2">
      <c r="B291" s="310"/>
      <c r="C291" s="311"/>
      <c r="D291" s="312"/>
      <c r="E291" s="313"/>
      <c r="F291" s="313"/>
      <c r="G291" s="304"/>
      <c r="H291" s="305"/>
      <c r="I291" s="306"/>
      <c r="J291" s="307"/>
      <c r="K291" s="308"/>
      <c r="L291" s="307">
        <f>IF(NOT(ISERROR(MATCH(K291,_xlfn.ANCHORARRAY(G538),0))),J540&amp;"Por favor no seleccionar los criterios de impacto",K291)</f>
        <v>0</v>
      </c>
      <c r="M291" s="306"/>
      <c r="N291" s="307"/>
      <c r="O291" s="309"/>
      <c r="P291" s="168">
        <v>3</v>
      </c>
      <c r="Q291" s="146"/>
      <c r="R291" s="169"/>
      <c r="S291" s="182"/>
      <c r="T291" s="170"/>
      <c r="U291" s="171"/>
      <c r="V291" s="170"/>
      <c r="W291" s="170"/>
      <c r="X291" s="170"/>
      <c r="Y291" s="172"/>
      <c r="Z291" s="173"/>
      <c r="AA291" s="171"/>
      <c r="AB291" s="173"/>
      <c r="AC291" s="171"/>
      <c r="AD291" s="174"/>
      <c r="AE291" s="196"/>
      <c r="AF291" s="136"/>
      <c r="AG291" s="203"/>
      <c r="AH291" s="202"/>
      <c r="AI291" s="187"/>
      <c r="AJ291" s="188"/>
      <c r="AK291" s="523"/>
      <c r="AL291" s="535"/>
      <c r="AM291" s="535"/>
      <c r="AN291" s="535"/>
      <c r="AO291" s="535"/>
      <c r="AP291" s="535"/>
      <c r="AQ291" s="535"/>
      <c r="AR291" s="535"/>
      <c r="AS291" s="158"/>
      <c r="AT291" s="158"/>
      <c r="AU291" s="158"/>
      <c r="AV291" s="158"/>
      <c r="AW291" s="158"/>
      <c r="AX291" s="158"/>
      <c r="AY291" s="158"/>
      <c r="AZ291" s="158"/>
      <c r="BA291" s="158"/>
      <c r="BB291" s="158"/>
      <c r="BC291" s="158"/>
      <c r="BD291" s="158"/>
      <c r="BE291" s="158"/>
      <c r="BF291" s="158"/>
      <c r="BG291" s="158"/>
      <c r="BH291" s="158"/>
      <c r="BI291" s="158"/>
      <c r="BJ291" s="158"/>
    </row>
    <row r="292" spans="2:62" s="163" customFormat="1" ht="75" x14ac:dyDescent="0.25">
      <c r="B292" s="310" t="s">
        <v>602</v>
      </c>
      <c r="C292" s="311" t="s">
        <v>359</v>
      </c>
      <c r="D292" s="312" t="s">
        <v>603</v>
      </c>
      <c r="E292" s="313" t="s">
        <v>127</v>
      </c>
      <c r="F292" s="313" t="s">
        <v>336</v>
      </c>
      <c r="G292" s="304" t="s">
        <v>337</v>
      </c>
      <c r="H292" s="305" t="s">
        <v>224</v>
      </c>
      <c r="I292" s="306" t="str">
        <f>IF(H292&lt;=0,"",IF(H292="No se ha presentado en los últimos 5 años","Rara vez",IF(H292="Al menos 1 vez en los últimos 5 años","Improbable",IF(H292="Al menos 1 vez en los últimos 2 años","Posible",IF(H292="Al menos 1 vez en el último año","Probable",IF(H292="Más de 1 vez al año","Casi Seguro"))))))</f>
        <v>Posible</v>
      </c>
      <c r="J292" s="307">
        <f>IF(I292="","",IF(I292="Rara vez",0.2,IF(I292="Improbable",0.4,IF(I292="Posible",0.6,IF(I292="Probable",0.8,IF(I292="Casi Seguro",1,))))))</f>
        <v>0.6</v>
      </c>
      <c r="K292" s="308" t="s">
        <v>131</v>
      </c>
      <c r="L292" s="307" t="str">
        <f>IF(NOT(ISERROR(MATCH(K292,'Tabla Impacto'!$B$220:$B$222,0))),'Tabla Impacto'!$F$222&amp;"Por favor no seleccionar los criterios de impacto(Criterios para calificar el impacto)",K292)</f>
        <v xml:space="preserve">Responder afirmativamente de DOCE a DIECINUEVE </v>
      </c>
      <c r="M292" s="306" t="str">
        <f>IF(OR(L292='Tabla Impacto'!$C$5),"Moderado",IF(OR(L292='Tabla Impacto'!$C$6),"Mayor",IF(OR(L292='Tabla Impacto'!$C$7),"Catastrófico","")))</f>
        <v>Catastrófico</v>
      </c>
      <c r="N292" s="307">
        <f>IF(M292="","",IF(M292="Leve",0.2,IF(M292="Menor",0.4,IF(M292="Moderado",0.6,IF(M292="Mayor",0.8,IF(M292="Catastrófico",1,))))))</f>
        <v>1</v>
      </c>
      <c r="O292" s="309" t="str">
        <f>IF(OR(AND(I292="Rara vez",M292="Leve"),AND(I292="Rara vez",M292="Menor"),AND(I292="Improbable",M292="Leve")),"Bajo",IF(OR(AND(I292="Rara vez",M292="Moderado"),AND(I292="Improbable",M292="Menor"),AND(I292="Improbable",M292="Moderado"),AND(I292="Posible",M292="Leve"),AND(I292="Posible",M292="Menor"),AND(I292="Posible",M292="Moderado"),AND(I292="Probable",M292="Leve"),AND(I292="Probable",M292="Menor")),"Moderado",IF(OR(AND(I292="Rara vez",M292="Mayor"),AND(I292="Improbable",M292="Mayor"),AND(I292="Posible",M292="Mayor"),AND(I292="Probable",M292="Moderado"),AND(I292="Probable",M292="Mayor"),AND(I292="Casi Seguro",M292="Leve"),AND(I292="Casi Seguro",M292="Menor"),AND(I292="Casi Seguro",M292="Moderado"),AND(I292="Casi Seguro",M292="Mayor")),"Alto",IF(OR(AND(I292="Rara vez",M292="Catastrófico"),AND(I292="Improbable",M292="Catastrófico"),AND(I292="Posible",M292="Catastrófico"),AND(I292="Probable",M292="Catastrófico"),AND(I292="Casi Seguro",M292="Catastrófico")),"Extremo",""))))</f>
        <v>Extremo</v>
      </c>
      <c r="P292" s="168">
        <v>1</v>
      </c>
      <c r="Q292" s="149" t="s">
        <v>604</v>
      </c>
      <c r="R292" s="169" t="str">
        <f>IF(OR(S292="Preventivo",S292="Detectivo"),"Probabilidad",IF(S292="Correctivo","Impacto",""))</f>
        <v>Probabilidad</v>
      </c>
      <c r="S292" s="170" t="s">
        <v>112</v>
      </c>
      <c r="T292" s="170" t="s">
        <v>113</v>
      </c>
      <c r="U292" s="171" t="str">
        <f>IF(AND(S292="Preventivo",T292="Automático"),"50%",IF(AND(S292="Preventivo",T292="Manual"),"40%",IF(AND(S292="Detectivo",T292="Automático"),"40%",IF(AND(S292="Detectivo",T292="Manual"),"30%",IF(AND(S292="Correctivo",T292="Automático"),"35%",IF(AND(S292="Correctivo",T292="Manual"),"25%",""))))))</f>
        <v>40%</v>
      </c>
      <c r="V292" s="170" t="s">
        <v>114</v>
      </c>
      <c r="W292" s="170" t="s">
        <v>115</v>
      </c>
      <c r="X292" s="170" t="s">
        <v>134</v>
      </c>
      <c r="Y292" s="172">
        <f>IFERROR(IF(R292="Probabilidad",(J292-(+J292*U292)),IF(R292="Impacto",J292,"")),"")</f>
        <v>0.36</v>
      </c>
      <c r="Z292" s="173" t="str">
        <f>IFERROR(IF(Y292="","",IF(Y292&lt;=0.2,"Rara vez",IF(Y292&lt;=0.4,"Improbable",IF(Y292&lt;=0.6,"Posible",IF(Y292&lt;=0.8,"Probable","Casi Seguro"))))),"")</f>
        <v>Improbable</v>
      </c>
      <c r="AA292" s="171">
        <f>+Y292</f>
        <v>0.36</v>
      </c>
      <c r="AB292" s="173" t="str">
        <f>IFERROR(IF(AC292="","",IF(AC292&lt;=0.6,"Moderado",IF(AC292&lt;=0.8,"Mayor","Catastrófico"))),"")</f>
        <v>Catastrófico</v>
      </c>
      <c r="AC292" s="171">
        <f>IFERROR(IF(R292="Impacto",(N292-(+N292*U292)),IF(R292="Probabilidad",N292,"")),"")</f>
        <v>1</v>
      </c>
      <c r="AD292" s="174" t="str">
        <f t="shared" ref="AD292:AD295" si="435">IFERROR(IF(OR(AND(Z292="Rara vez",AB292="Leve"),AND(Z292="Rara vez",AB292="Menor"),AND(Z292="Improbable",AB292="Leve")),"Bajo",IF(OR(AND(Z292="Rara vez",AB292="Moderado"),AND(Z292="Improbable",AB292="Menor"),AND(Z292="Improbable",AB292="Moderado"),AND(Z292="Posible",AB292="Leve"),AND(Z292="Posible",AB292="Menor"),AND(Z292="Posible",AB292="Moderado"),AND(Z292="Probable",AB292="Leve"),AND(Z292="Probable",AB292="Menor")),"Moderado",IF(OR(AND(Z292="Rara vez",AB292="Mayor"),AND(Z292="Improbable",AB292="Mayor"),AND(Z292="Posible",AB292="Mayor"),AND(Z292="Probable",AB292="Moderado"),AND(Z292="Probable",AB292="Mayor"),AND(Z292="Casi Seguro",AB292="Leve"),AND(Z292="Casi Seguro",AB292="Menor"),AND(Z292="Casi Seguro",AB292="Moderado"),AND(Z292="Casi Seguro",AB292="Mayor")),"Alto",IF(OR(AND(Z292="Rara vez",AB292="Catastrófico"),AND(Z292="Improbable",AB292="Catastrófico"),AND(Z292="Posible",AB292="Catastrófico"),AND(Z292="Probable",AB292="Catastrófico"),AND(Z292="Casi Seguro",AB292="Catastrófico")),"Extremo","")))),"")</f>
        <v>Extremo</v>
      </c>
      <c r="AE292" s="170"/>
      <c r="AF292" s="123"/>
      <c r="AG292" s="123"/>
      <c r="AH292" s="175"/>
      <c r="AI292" s="176"/>
      <c r="AJ292" s="177"/>
      <c r="AK292" s="522"/>
      <c r="AL292" s="534"/>
      <c r="AM292" s="534"/>
      <c r="AN292" s="534"/>
      <c r="AO292" s="534"/>
      <c r="AP292" s="534"/>
      <c r="AQ292" s="534"/>
      <c r="AR292" s="534"/>
      <c r="AS292" s="178"/>
      <c r="AT292" s="178"/>
      <c r="AU292" s="178"/>
      <c r="AV292" s="178"/>
      <c r="AW292" s="178"/>
      <c r="AX292" s="178"/>
      <c r="AY292" s="178"/>
      <c r="AZ292" s="178"/>
      <c r="BA292" s="178"/>
      <c r="BB292" s="178"/>
      <c r="BC292" s="178"/>
      <c r="BD292" s="178"/>
      <c r="BE292" s="178"/>
      <c r="BF292" s="178"/>
      <c r="BG292" s="178"/>
      <c r="BH292" s="178"/>
      <c r="BI292" s="178"/>
      <c r="BJ292" s="178"/>
    </row>
    <row r="293" spans="2:62" ht="85.5" customHeight="1" x14ac:dyDescent="0.2">
      <c r="B293" s="310"/>
      <c r="C293" s="311"/>
      <c r="D293" s="312"/>
      <c r="E293" s="313"/>
      <c r="F293" s="313"/>
      <c r="G293" s="304"/>
      <c r="H293" s="305"/>
      <c r="I293" s="306"/>
      <c r="J293" s="307"/>
      <c r="K293" s="308"/>
      <c r="L293" s="307">
        <f>IF(NOT(ISERROR(MATCH(K293,_xlfn.ANCHORARRAY(G540),0))),J542&amp;"Por favor no seleccionar los criterios de impacto",K293)</f>
        <v>0</v>
      </c>
      <c r="M293" s="306"/>
      <c r="N293" s="307"/>
      <c r="O293" s="309"/>
      <c r="P293" s="168">
        <v>2</v>
      </c>
      <c r="Q293" s="149" t="s">
        <v>605</v>
      </c>
      <c r="R293" s="169" t="str">
        <f>IF(OR(S293="Preventivo",S293="Detectivo"),"Probabilidad",IF(S293="Correctivo","Impacto",""))</f>
        <v>Probabilidad</v>
      </c>
      <c r="S293" s="170" t="s">
        <v>133</v>
      </c>
      <c r="T293" s="170" t="s">
        <v>113</v>
      </c>
      <c r="U293" s="171" t="str">
        <f t="shared" ref="U293:U294" si="436">IF(AND(S293="Preventivo",T293="Automático"),"50%",IF(AND(S293="Preventivo",T293="Manual"),"40%",IF(AND(S293="Detectivo",T293="Automático"),"40%",IF(AND(S293="Detectivo",T293="Manual"),"30%",IF(AND(S293="Correctivo",T293="Automático"),"35%",IF(AND(S293="Correctivo",T293="Manual"),"25%",""))))))</f>
        <v>30%</v>
      </c>
      <c r="V293" s="170" t="s">
        <v>114</v>
      </c>
      <c r="W293" s="170" t="s">
        <v>115</v>
      </c>
      <c r="X293" s="170" t="s">
        <v>134</v>
      </c>
      <c r="Y293" s="172">
        <f>IFERROR(IF(AND(R292="Probabilidad",R293="Probabilidad"),(AA292-(+AA292*U293)),IF(R293="Probabilidad",(J292-(+J292*U293)),IF(R293="Impacto",AA292,""))),"")</f>
        <v>0.252</v>
      </c>
      <c r="Z293" s="173" t="str">
        <f t="shared" ref="Z293:Z294" si="437">IFERROR(IF(Y293="","",IF(Y293&lt;=0.2,"Rara vez",IF(Y293&lt;=0.4,"Improbable",IF(Y293&lt;=0.6,"Posible",IF(Y293&lt;=0.8,"Probable","Casi Seguro"))))),"")</f>
        <v>Improbable</v>
      </c>
      <c r="AA293" s="171">
        <f t="shared" ref="AA293:AA294" si="438">+Y293</f>
        <v>0.252</v>
      </c>
      <c r="AB293" s="173" t="str">
        <f t="shared" ref="AB293:AB294" si="439">IFERROR(IF(AC293="","",IF(AC293&lt;=0.6,"Moderado",IF(AC293&lt;=0.8,"Mayor","Catastrófico"))),"")</f>
        <v>Catastrófico</v>
      </c>
      <c r="AC293" s="171">
        <f>IFERROR(IF(AND(R292="Impacto",R293="Impacto"),(AC292-(+AC292*U293)),IF(R293="Impacto",(N292-(+N292*U293)),IF(R293="Probabilidad",AC292,""))),"")</f>
        <v>1</v>
      </c>
      <c r="AD293" s="174" t="str">
        <f t="shared" si="435"/>
        <v>Extremo</v>
      </c>
      <c r="AE293" s="170"/>
      <c r="AF293" s="132"/>
      <c r="AG293" s="194"/>
      <c r="AH293" s="195"/>
      <c r="AI293" s="176"/>
      <c r="AJ293" s="181"/>
      <c r="AK293" s="522"/>
      <c r="AL293" s="535"/>
      <c r="AM293" s="535"/>
      <c r="AN293" s="535"/>
      <c r="AO293" s="535"/>
      <c r="AP293" s="535"/>
      <c r="AQ293" s="535"/>
      <c r="AR293" s="535"/>
      <c r="AS293" s="158"/>
      <c r="AT293" s="158"/>
      <c r="AU293" s="158"/>
      <c r="AV293" s="158"/>
      <c r="AW293" s="158"/>
      <c r="AX293" s="158"/>
      <c r="AY293" s="158"/>
      <c r="AZ293" s="158"/>
      <c r="BA293" s="158"/>
      <c r="BB293" s="158"/>
      <c r="BC293" s="158"/>
      <c r="BD293" s="158"/>
      <c r="BE293" s="158"/>
      <c r="BF293" s="158"/>
      <c r="BG293" s="158"/>
      <c r="BH293" s="158"/>
      <c r="BI293" s="158"/>
      <c r="BJ293" s="158"/>
    </row>
    <row r="294" spans="2:62" ht="75" x14ac:dyDescent="0.2">
      <c r="B294" s="310"/>
      <c r="C294" s="311"/>
      <c r="D294" s="312"/>
      <c r="E294" s="313"/>
      <c r="F294" s="313"/>
      <c r="G294" s="304"/>
      <c r="H294" s="305"/>
      <c r="I294" s="306"/>
      <c r="J294" s="307"/>
      <c r="K294" s="308"/>
      <c r="L294" s="307">
        <f>IF(NOT(ISERROR(MATCH(K294,_xlfn.ANCHORARRAY(G541),0))),J543&amp;"Por favor no seleccionar los criterios de impacto",K294)</f>
        <v>0</v>
      </c>
      <c r="M294" s="306"/>
      <c r="N294" s="307"/>
      <c r="O294" s="309"/>
      <c r="P294" s="168">
        <v>3</v>
      </c>
      <c r="Q294" s="149" t="s">
        <v>606</v>
      </c>
      <c r="R294" s="169" t="s">
        <v>118</v>
      </c>
      <c r="S294" s="170" t="s">
        <v>133</v>
      </c>
      <c r="T294" s="170" t="s">
        <v>113</v>
      </c>
      <c r="U294" s="171" t="str">
        <f t="shared" si="436"/>
        <v>30%</v>
      </c>
      <c r="V294" s="170" t="s">
        <v>114</v>
      </c>
      <c r="W294" s="170" t="s">
        <v>115</v>
      </c>
      <c r="X294" s="170" t="s">
        <v>134</v>
      </c>
      <c r="Y294" s="172">
        <f>IFERROR(IF(AND(R293="Probabilidad",R294="Probabilidad"),(AA293-(+AA293*U294)),IF(AND(R293="Impacto",R294="Probabilidad"),(AA292-(+AA292*U294)),IF(R294="Impacto",AA293,""))),"")</f>
        <v>0.1764</v>
      </c>
      <c r="Z294" s="173" t="str">
        <f t="shared" si="437"/>
        <v>Rara vez</v>
      </c>
      <c r="AA294" s="171">
        <f t="shared" si="438"/>
        <v>0.1764</v>
      </c>
      <c r="AB294" s="173" t="str">
        <f t="shared" si="439"/>
        <v>Catastrófico</v>
      </c>
      <c r="AC294" s="171">
        <f>IFERROR(IF(AND(R293="Impacto",R294="Impacto"),(AC293-(+AC293*U294)),IF(AND(R293="Probabilidad",R294="Impacto"),(AC292-(+AC292*U294)),IF(R294="Probabilidad",AC293,""))),"")</f>
        <v>1</v>
      </c>
      <c r="AD294" s="174" t="str">
        <f t="shared" si="435"/>
        <v>Extremo</v>
      </c>
      <c r="AE294" s="196"/>
      <c r="AF294" s="136"/>
      <c r="AG294" s="203"/>
      <c r="AH294" s="202"/>
      <c r="AI294" s="187"/>
      <c r="AJ294" s="188"/>
      <c r="AK294" s="523"/>
      <c r="AL294" s="535"/>
      <c r="AM294" s="535"/>
      <c r="AN294" s="535"/>
      <c r="AO294" s="535"/>
      <c r="AP294" s="535"/>
      <c r="AQ294" s="535"/>
      <c r="AR294" s="535"/>
      <c r="AS294" s="158"/>
      <c r="AT294" s="158"/>
      <c r="AU294" s="158"/>
      <c r="AV294" s="158"/>
      <c r="AW294" s="158"/>
      <c r="AX294" s="158"/>
      <c r="AY294" s="158"/>
      <c r="AZ294" s="158"/>
      <c r="BA294" s="158"/>
      <c r="BB294" s="158"/>
      <c r="BC294" s="158"/>
      <c r="BD294" s="158"/>
      <c r="BE294" s="158"/>
      <c r="BF294" s="158"/>
      <c r="BG294" s="158"/>
      <c r="BH294" s="158"/>
      <c r="BI294" s="158"/>
      <c r="BJ294" s="158"/>
    </row>
    <row r="295" spans="2:62" s="163" customFormat="1" ht="76.5" x14ac:dyDescent="0.25">
      <c r="B295" s="310" t="s">
        <v>607</v>
      </c>
      <c r="C295" s="311" t="s">
        <v>359</v>
      </c>
      <c r="D295" s="312" t="s">
        <v>556</v>
      </c>
      <c r="E295" s="313" t="s">
        <v>127</v>
      </c>
      <c r="F295" s="313" t="s">
        <v>170</v>
      </c>
      <c r="G295" s="304" t="s">
        <v>337</v>
      </c>
      <c r="H295" s="305" t="s">
        <v>608</v>
      </c>
      <c r="I295" s="306" t="str">
        <f>IF(H295&lt;=0,"",IF(H295="No se ha presentado en los últimos 5 años","Rara vez",IF(H295="Al menos 1 vez en los últimos 5 años","Improbable",IF(H295="Al menos 1 vez en los últimos 2 años","Posible",IF(H295="Al menos 1 vez en el último año","Probable",IF(H295="Más de 1 vez al año","Casi Seguro"))))))</f>
        <v>Casi Seguro</v>
      </c>
      <c r="J295" s="307">
        <f>IF(I295="","",IF(I295="Rara vez",0.2,IF(I295="Improbable",0.4,IF(I295="Posible",0.6,IF(I295="Probable",0.8,IF(I295="Casi Seguro",1,))))))</f>
        <v>1</v>
      </c>
      <c r="K295" s="308" t="s">
        <v>131</v>
      </c>
      <c r="L295" s="307" t="str">
        <f>IF(NOT(ISERROR(MATCH(K295,'Tabla Impacto'!$B$220:$B$222,0))),'Tabla Impacto'!$F$222&amp;"Por favor no seleccionar los criterios de impacto(Criterios para calificar el impacto)",K295)</f>
        <v xml:space="preserve">Responder afirmativamente de DOCE a DIECINUEVE </v>
      </c>
      <c r="M295" s="306" t="str">
        <f>IF(OR(L295='Tabla Impacto'!$C$5),"Moderado",IF(OR(L295='Tabla Impacto'!$C$6),"Mayor",IF(OR(L295='Tabla Impacto'!$C$7),"Catastrófico","")))</f>
        <v>Catastrófico</v>
      </c>
      <c r="N295" s="307">
        <f>IF(M295="","",IF(M295="Leve",0.2,IF(M295="Menor",0.4,IF(M295="Moderado",0.6,IF(M295="Mayor",0.8,IF(M295="Catastrófico",1,))))))</f>
        <v>1</v>
      </c>
      <c r="O295" s="309" t="str">
        <f>IF(OR(AND(I295="Rara vez",M295="Leve"),AND(I295="Rara vez",M295="Menor"),AND(I295="Improbable",M295="Leve")),"Bajo",IF(OR(AND(I295="Rara vez",M295="Moderado"),AND(I295="Improbable",M295="Menor"),AND(I295="Improbable",M295="Moderado"),AND(I295="Posible",M295="Leve"),AND(I295="Posible",M295="Menor"),AND(I295="Posible",M295="Moderado"),AND(I295="Probable",M295="Leve"),AND(I295="Probable",M295="Menor")),"Moderado",IF(OR(AND(I295="Rara vez",M295="Mayor"),AND(I295="Improbable",M295="Mayor"),AND(I295="Posible",M295="Mayor"),AND(I295="Probable",M295="Moderado"),AND(I295="Probable",M295="Mayor"),AND(I295="Casi Seguro",M295="Leve"),AND(I295="Casi Seguro",M295="Menor"),AND(I295="Casi Seguro",M295="Moderado"),AND(I295="Casi Seguro",M295="Mayor")),"Alto",IF(OR(AND(I295="Rara vez",M295="Catastrófico"),AND(I295="Improbable",M295="Catastrófico"),AND(I295="Posible",M295="Catastrófico"),AND(I295="Probable",M295="Catastrófico"),AND(I295="Casi Seguro",M295="Catastrófico")),"Extremo",""))))</f>
        <v>Extremo</v>
      </c>
      <c r="P295" s="168">
        <v>1</v>
      </c>
      <c r="Q295" s="150" t="s">
        <v>609</v>
      </c>
      <c r="R295" s="169" t="str">
        <f>IF(OR(S295="Preventivo",S295="Detectivo"),"Probabilidad",IF(S295="Correctivo","Impacto",""))</f>
        <v>Probabilidad</v>
      </c>
      <c r="S295" s="170" t="s">
        <v>112</v>
      </c>
      <c r="T295" s="170" t="s">
        <v>113</v>
      </c>
      <c r="U295" s="171" t="str">
        <f>IF(AND(S295="Preventivo",T295="Automático"),"50%",IF(AND(S295="Preventivo",T295="Manual"),"40%",IF(AND(S295="Detectivo",T295="Automático"),"40%",IF(AND(S295="Detectivo",T295="Manual"),"30%",IF(AND(S295="Correctivo",T295="Automático"),"35%",IF(AND(S295="Correctivo",T295="Manual"),"25%",""))))))</f>
        <v>40%</v>
      </c>
      <c r="V295" s="170" t="s">
        <v>119</v>
      </c>
      <c r="W295" s="170" t="s">
        <v>115</v>
      </c>
      <c r="X295" s="170" t="s">
        <v>134</v>
      </c>
      <c r="Y295" s="172">
        <f>IFERROR(IF(R295="Probabilidad",(J295-(+J295*U295)),IF(R295="Impacto",J295,"")),"")</f>
        <v>0.6</v>
      </c>
      <c r="Z295" s="173" t="str">
        <f>IFERROR(IF(Y295="","",IF(Y295&lt;=0.2,"Rara vez",IF(Y295&lt;=0.4,"Improbable",IF(Y295&lt;=0.6,"Posible",IF(Y295&lt;=0.8,"Probable","Casi Seguro"))))),"")</f>
        <v>Posible</v>
      </c>
      <c r="AA295" s="171">
        <f>+Y295</f>
        <v>0.6</v>
      </c>
      <c r="AB295" s="173" t="str">
        <f>IFERROR(IF(AC295="","",IF(AC295&lt;=0.6,"Moderado",IF(AC295&lt;=0.8,"Mayor","Catastrófico"))),"")</f>
        <v>Catastrófico</v>
      </c>
      <c r="AC295" s="171">
        <f>IFERROR(IF(R295="Impacto",(N295-(+N295*U295)),IF(R295="Probabilidad",N295,"")),"")</f>
        <v>1</v>
      </c>
      <c r="AD295" s="174" t="str">
        <f t="shared" si="435"/>
        <v>Extremo</v>
      </c>
      <c r="AE295" s="170" t="s">
        <v>120</v>
      </c>
      <c r="AF295" s="123"/>
      <c r="AG295" s="123"/>
      <c r="AH295" s="175"/>
      <c r="AI295" s="176"/>
      <c r="AJ295" s="177"/>
      <c r="AK295" s="522"/>
      <c r="AL295" s="534"/>
      <c r="AM295" s="534"/>
      <c r="AN295" s="534"/>
      <c r="AO295" s="534"/>
      <c r="AP295" s="534"/>
      <c r="AQ295" s="534"/>
      <c r="AR295" s="534"/>
      <c r="AS295" s="178"/>
      <c r="AT295" s="178"/>
      <c r="AU295" s="178"/>
      <c r="AV295" s="178"/>
      <c r="AW295" s="178"/>
      <c r="AX295" s="178"/>
      <c r="AY295" s="178"/>
      <c r="AZ295" s="178"/>
      <c r="BA295" s="178"/>
      <c r="BB295" s="178"/>
      <c r="BC295" s="178"/>
      <c r="BD295" s="178"/>
      <c r="BE295" s="178"/>
      <c r="BF295" s="178"/>
      <c r="BG295" s="178"/>
      <c r="BH295" s="178"/>
      <c r="BI295" s="178"/>
      <c r="BJ295" s="178"/>
    </row>
    <row r="296" spans="2:62" x14ac:dyDescent="0.2">
      <c r="B296" s="310"/>
      <c r="C296" s="311"/>
      <c r="D296" s="312"/>
      <c r="E296" s="313"/>
      <c r="F296" s="313"/>
      <c r="G296" s="304"/>
      <c r="H296" s="305"/>
      <c r="I296" s="306"/>
      <c r="J296" s="307"/>
      <c r="K296" s="308"/>
      <c r="L296" s="307">
        <f>IF(NOT(ISERROR(MATCH(K296,_xlfn.ANCHORARRAY(G543),0))),J545&amp;"Por favor no seleccionar los criterios de impacto",K296)</f>
        <v>0</v>
      </c>
      <c r="M296" s="306"/>
      <c r="N296" s="307"/>
      <c r="O296" s="309"/>
      <c r="P296" s="168"/>
      <c r="Q296" s="123"/>
      <c r="R296" s="169"/>
      <c r="S296" s="170"/>
      <c r="T296" s="170"/>
      <c r="U296" s="171"/>
      <c r="V296" s="170"/>
      <c r="W296" s="170"/>
      <c r="X296" s="170"/>
      <c r="Y296" s="172"/>
      <c r="Z296" s="173"/>
      <c r="AA296" s="171"/>
      <c r="AB296" s="173"/>
      <c r="AC296" s="171"/>
      <c r="AD296" s="174"/>
      <c r="AE296" s="170"/>
      <c r="AF296" s="132"/>
      <c r="AG296" s="194"/>
      <c r="AH296" s="195"/>
      <c r="AI296" s="176"/>
      <c r="AJ296" s="181"/>
      <c r="AK296" s="522"/>
      <c r="AL296" s="535"/>
      <c r="AM296" s="535"/>
      <c r="AN296" s="535"/>
      <c r="AO296" s="535"/>
      <c r="AP296" s="535"/>
      <c r="AQ296" s="535"/>
      <c r="AR296" s="535"/>
      <c r="AS296" s="158"/>
      <c r="AT296" s="158"/>
      <c r="AU296" s="158"/>
      <c r="AV296" s="158"/>
      <c r="AW296" s="158"/>
      <c r="AX296" s="158"/>
      <c r="AY296" s="158"/>
      <c r="AZ296" s="158"/>
      <c r="BA296" s="158"/>
      <c r="BB296" s="158"/>
      <c r="BC296" s="158"/>
      <c r="BD296" s="158"/>
      <c r="BE296" s="158"/>
      <c r="BF296" s="158"/>
      <c r="BG296" s="158"/>
      <c r="BH296" s="158"/>
      <c r="BI296" s="158"/>
      <c r="BJ296" s="158"/>
    </row>
    <row r="297" spans="2:62" x14ac:dyDescent="0.2">
      <c r="B297" s="310"/>
      <c r="C297" s="311"/>
      <c r="D297" s="312"/>
      <c r="E297" s="313"/>
      <c r="F297" s="313"/>
      <c r="G297" s="304"/>
      <c r="H297" s="305"/>
      <c r="I297" s="306"/>
      <c r="J297" s="307"/>
      <c r="K297" s="308"/>
      <c r="L297" s="307">
        <f>IF(NOT(ISERROR(MATCH(K297,_xlfn.ANCHORARRAY(G544),0))),J546&amp;"Por favor no seleccionar los criterios de impacto",K297)</f>
        <v>0</v>
      </c>
      <c r="M297" s="306"/>
      <c r="N297" s="307"/>
      <c r="O297" s="309"/>
      <c r="P297" s="168"/>
      <c r="Q297" s="146"/>
      <c r="R297" s="169"/>
      <c r="S297" s="182"/>
      <c r="T297" s="170"/>
      <c r="U297" s="171"/>
      <c r="V297" s="170"/>
      <c r="W297" s="170"/>
      <c r="X297" s="170"/>
      <c r="Y297" s="172"/>
      <c r="Z297" s="173"/>
      <c r="AA297" s="171"/>
      <c r="AB297" s="173"/>
      <c r="AC297" s="171"/>
      <c r="AD297" s="174"/>
      <c r="AE297" s="196"/>
      <c r="AF297" s="136"/>
      <c r="AG297" s="203"/>
      <c r="AH297" s="202"/>
      <c r="AI297" s="187"/>
      <c r="AJ297" s="188"/>
      <c r="AK297" s="523"/>
      <c r="AL297" s="535"/>
      <c r="AM297" s="535"/>
      <c r="AN297" s="535"/>
      <c r="AO297" s="535"/>
      <c r="AP297" s="535"/>
      <c r="AQ297" s="535"/>
      <c r="AR297" s="535"/>
      <c r="AS297" s="158"/>
      <c r="AT297" s="158"/>
      <c r="AU297" s="158"/>
      <c r="AV297" s="158"/>
      <c r="AW297" s="158"/>
      <c r="AX297" s="158"/>
      <c r="AY297" s="158"/>
      <c r="AZ297" s="158"/>
      <c r="BA297" s="158"/>
      <c r="BB297" s="158"/>
      <c r="BC297" s="158"/>
      <c r="BD297" s="158"/>
      <c r="BE297" s="158"/>
      <c r="BF297" s="158"/>
      <c r="BG297" s="158"/>
      <c r="BH297" s="158"/>
      <c r="BI297" s="158"/>
      <c r="BJ297" s="158"/>
    </row>
    <row r="298" spans="2:62" s="163" customFormat="1" ht="76.5" x14ac:dyDescent="0.25">
      <c r="B298" s="310" t="s">
        <v>610</v>
      </c>
      <c r="C298" s="311" t="s">
        <v>359</v>
      </c>
      <c r="D298" s="312" t="s">
        <v>611</v>
      </c>
      <c r="E298" s="313" t="s">
        <v>127</v>
      </c>
      <c r="F298" s="313" t="s">
        <v>492</v>
      </c>
      <c r="G298" s="304" t="s">
        <v>493</v>
      </c>
      <c r="H298" s="305" t="s">
        <v>109</v>
      </c>
      <c r="I298" s="306" t="str">
        <f>IF(H298&lt;=0,"",IF(H298="No se ha presentado en los últimos 5 años","Rara vez",IF(H298="Al menos 1 vez en los últimos 5 años","Improbable",IF(H298="Al menos 1 vez en los últimos 2 años","Posible",IF(H298="Al menos 1 vez en el último año","Probable",IF(H298="Más de 1 vez al año","Casi Seguro"))))))</f>
        <v>Rara vez</v>
      </c>
      <c r="J298" s="307">
        <f>IF(I298="","",IF(I298="Rara vez",0.2,IF(I298="Improbable",0.4,IF(I298="Posible",0.6,IF(I298="Probable",0.8,IF(I298="Casi Seguro",1,))))))</f>
        <v>0.2</v>
      </c>
      <c r="K298" s="308" t="s">
        <v>131</v>
      </c>
      <c r="L298" s="307" t="str">
        <f>IF(NOT(ISERROR(MATCH(K298,'Tabla Impacto'!$B$220:$B$222,0))),'Tabla Impacto'!$F$222&amp;"Por favor no seleccionar los criterios de impacto(Criterios para calificar el impacto)",K298)</f>
        <v xml:space="preserve">Responder afirmativamente de DOCE a DIECINUEVE </v>
      </c>
      <c r="M298" s="306" t="str">
        <f>IF(OR(L298='Tabla Impacto'!$C$5),"Moderado",IF(OR(L298='Tabla Impacto'!$C$6),"Mayor",IF(OR(L298='Tabla Impacto'!$C$7),"Catastrófico","")))</f>
        <v>Catastrófico</v>
      </c>
      <c r="N298" s="307">
        <f>IF(M298="","",IF(M298="Leve",0.2,IF(M298="Menor",0.4,IF(M298="Moderado",0.6,IF(M298="Mayor",0.8,IF(M298="Catastrófico",1,))))))</f>
        <v>1</v>
      </c>
      <c r="O298" s="309" t="str">
        <f>IF(OR(AND(I298="Rara vez",M298="Leve"),AND(I298="Rara vez",M298="Menor"),AND(I298="Improbable",M298="Leve")),"Bajo",IF(OR(AND(I298="Rara vez",M298="Moderado"),AND(I298="Improbable",M298="Menor"),AND(I298="Improbable",M298="Moderado"),AND(I298="Posible",M298="Leve"),AND(I298="Posible",M298="Menor"),AND(I298="Posible",M298="Moderado"),AND(I298="Probable",M298="Leve"),AND(I298="Probable",M298="Menor")),"Moderado",IF(OR(AND(I298="Rara vez",M298="Mayor"),AND(I298="Improbable",M298="Mayor"),AND(I298="Posible",M298="Mayor"),AND(I298="Probable",M298="Moderado"),AND(I298="Probable",M298="Mayor"),AND(I298="Casi Seguro",M298="Leve"),AND(I298="Casi Seguro",M298="Menor"),AND(I298="Casi Seguro",M298="Moderado"),AND(I298="Casi Seguro",M298="Mayor")),"Alto",IF(OR(AND(I298="Rara vez",M298="Catastrófico"),AND(I298="Improbable",M298="Catastrófico"),AND(I298="Posible",M298="Catastrófico"),AND(I298="Probable",M298="Catastrófico"),AND(I298="Casi Seguro",M298="Catastrófico")),"Extremo",""))))</f>
        <v>Extremo</v>
      </c>
      <c r="P298" s="168">
        <v>1</v>
      </c>
      <c r="Q298" s="123" t="s">
        <v>612</v>
      </c>
      <c r="R298" s="169" t="str">
        <f>IF(OR(S298="Preventivo",S298="Detectivo"),"Probabilidad",IF(S298="Correctivo","Impacto",""))</f>
        <v>Probabilidad</v>
      </c>
      <c r="S298" s="170" t="s">
        <v>112</v>
      </c>
      <c r="T298" s="170" t="s">
        <v>113</v>
      </c>
      <c r="U298" s="171" t="str">
        <f>IF(AND(S298="Preventivo",T298="Automático"),"50%",IF(AND(S298="Preventivo",T298="Manual"),"40%",IF(AND(S298="Detectivo",T298="Automático"),"40%",IF(AND(S298="Detectivo",T298="Manual"),"30%",IF(AND(S298="Correctivo",T298="Automático"),"35%",IF(AND(S298="Correctivo",T298="Manual"),"25%",""))))))</f>
        <v>40%</v>
      </c>
      <c r="V298" s="170" t="s">
        <v>119</v>
      </c>
      <c r="W298" s="170" t="s">
        <v>115</v>
      </c>
      <c r="X298" s="170" t="s">
        <v>134</v>
      </c>
      <c r="Y298" s="172">
        <f>IFERROR(IF(R298="Probabilidad",(J298-(+J298*U298)),IF(R298="Impacto",J298,"")),"")</f>
        <v>0.12</v>
      </c>
      <c r="Z298" s="173" t="str">
        <f>IFERROR(IF(Y298="","",IF(Y298&lt;=0.2,"Rara vez",IF(Y298&lt;=0.4,"Improbable",IF(Y298&lt;=0.6,"Posible",IF(Y298&lt;=0.8,"Probable","Casi Seguro"))))),"")</f>
        <v>Rara vez</v>
      </c>
      <c r="AA298" s="171">
        <f>+Y298</f>
        <v>0.12</v>
      </c>
      <c r="AB298" s="173" t="str">
        <f>IFERROR(IF(AC298="","",IF(AC298&lt;=0.6,"Moderado",IF(AC298&lt;=0.8,"Mayor","Catastrófico"))),"")</f>
        <v>Catastrófico</v>
      </c>
      <c r="AC298" s="171">
        <f>IFERROR(IF(R298="Impacto",(N298-(+N298*U298)),IF(R298="Probabilidad",N298,"")),"")</f>
        <v>1</v>
      </c>
      <c r="AD298" s="174" t="str">
        <f t="shared" ref="AD298:AD300" si="440">IFERROR(IF(OR(AND(Z298="Rara vez",AB298="Leve"),AND(Z298="Rara vez",AB298="Menor"),AND(Z298="Improbable",AB298="Leve")),"Bajo",IF(OR(AND(Z298="Rara vez",AB298="Moderado"),AND(Z298="Improbable",AB298="Menor"),AND(Z298="Improbable",AB298="Moderado"),AND(Z298="Posible",AB298="Leve"),AND(Z298="Posible",AB298="Menor"),AND(Z298="Posible",AB298="Moderado"),AND(Z298="Probable",AB298="Leve"),AND(Z298="Probable",AB298="Menor")),"Moderado",IF(OR(AND(Z298="Rara vez",AB298="Mayor"),AND(Z298="Improbable",AB298="Mayor"),AND(Z298="Posible",AB298="Mayor"),AND(Z298="Probable",AB298="Moderado"),AND(Z298="Probable",AB298="Mayor"),AND(Z298="Casi Seguro",AB298="Leve"),AND(Z298="Casi Seguro",AB298="Menor"),AND(Z298="Casi Seguro",AB298="Moderado"),AND(Z298="Casi Seguro",AB298="Mayor")),"Alto",IF(OR(AND(Z298="Rara vez",AB298="Catastrófico"),AND(Z298="Improbable",AB298="Catastrófico"),AND(Z298="Posible",AB298="Catastrófico"),AND(Z298="Probable",AB298="Catastrófico"),AND(Z298="Casi Seguro",AB298="Catastrófico")),"Extremo","")))),"")</f>
        <v>Extremo</v>
      </c>
      <c r="AE298" s="170"/>
      <c r="AF298" s="123"/>
      <c r="AG298" s="123"/>
      <c r="AH298" s="175"/>
      <c r="AI298" s="176"/>
      <c r="AJ298" s="177"/>
      <c r="AK298" s="522"/>
      <c r="AL298" s="534"/>
      <c r="AM298" s="534"/>
      <c r="AN298" s="534"/>
      <c r="AO298" s="534"/>
      <c r="AP298" s="534"/>
      <c r="AQ298" s="534"/>
      <c r="AR298" s="534"/>
      <c r="AS298" s="178"/>
      <c r="AT298" s="178"/>
      <c r="AU298" s="178"/>
      <c r="AV298" s="178"/>
      <c r="AW298" s="178"/>
      <c r="AX298" s="178"/>
      <c r="AY298" s="178"/>
      <c r="AZ298" s="178"/>
      <c r="BA298" s="178"/>
      <c r="BB298" s="178"/>
      <c r="BC298" s="178"/>
      <c r="BD298" s="178"/>
      <c r="BE298" s="178"/>
      <c r="BF298" s="178"/>
      <c r="BG298" s="178"/>
      <c r="BH298" s="178"/>
      <c r="BI298" s="178"/>
      <c r="BJ298" s="178"/>
    </row>
    <row r="299" spans="2:62" ht="85.5" customHeight="1" x14ac:dyDescent="0.2">
      <c r="B299" s="310"/>
      <c r="C299" s="311"/>
      <c r="D299" s="312"/>
      <c r="E299" s="313"/>
      <c r="F299" s="313"/>
      <c r="G299" s="304"/>
      <c r="H299" s="305"/>
      <c r="I299" s="306"/>
      <c r="J299" s="307"/>
      <c r="K299" s="308"/>
      <c r="L299" s="307">
        <f>IF(NOT(ISERROR(MATCH(K299,_xlfn.ANCHORARRAY(G546),0))),J548&amp;"Por favor no seleccionar los criterios de impacto",K299)</f>
        <v>0</v>
      </c>
      <c r="M299" s="306"/>
      <c r="N299" s="307"/>
      <c r="O299" s="309"/>
      <c r="P299" s="168">
        <v>2</v>
      </c>
      <c r="Q299" s="123" t="s">
        <v>613</v>
      </c>
      <c r="R299" s="169" t="str">
        <f>IF(OR(S299="Preventivo",S299="Detectivo"),"Probabilidad",IF(S299="Correctivo","Impacto",""))</f>
        <v>Probabilidad</v>
      </c>
      <c r="S299" s="170" t="s">
        <v>133</v>
      </c>
      <c r="T299" s="170" t="s">
        <v>113</v>
      </c>
      <c r="U299" s="171" t="str">
        <f t="shared" ref="U299:U300" si="441">IF(AND(S299="Preventivo",T299="Automático"),"50%",IF(AND(S299="Preventivo",T299="Manual"),"40%",IF(AND(S299="Detectivo",T299="Automático"),"40%",IF(AND(S299="Detectivo",T299="Manual"),"30%",IF(AND(S299="Correctivo",T299="Automático"),"35%",IF(AND(S299="Correctivo",T299="Manual"),"25%",""))))))</f>
        <v>30%</v>
      </c>
      <c r="V299" s="170" t="s">
        <v>114</v>
      </c>
      <c r="W299" s="170" t="s">
        <v>115</v>
      </c>
      <c r="X299" s="170" t="s">
        <v>134</v>
      </c>
      <c r="Y299" s="172">
        <f>IFERROR(IF(AND(R298="Probabilidad",R299="Probabilidad"),(AA298-(+AA298*U299)),IF(R299="Probabilidad",(J298-(+J298*U299)),IF(R299="Impacto",AA298,""))),"")</f>
        <v>8.3999999999999991E-2</v>
      </c>
      <c r="Z299" s="173" t="str">
        <f t="shared" ref="Z299:Z300" si="442">IFERROR(IF(Y299="","",IF(Y299&lt;=0.2,"Rara vez",IF(Y299&lt;=0.4,"Improbable",IF(Y299&lt;=0.6,"Posible",IF(Y299&lt;=0.8,"Probable","Casi Seguro"))))),"")</f>
        <v>Rara vez</v>
      </c>
      <c r="AA299" s="171">
        <f t="shared" ref="AA299:AA300" si="443">+Y299</f>
        <v>8.3999999999999991E-2</v>
      </c>
      <c r="AB299" s="173" t="str">
        <f t="shared" ref="AB299:AB300" si="444">IFERROR(IF(AC299="","",IF(AC299&lt;=0.6,"Moderado",IF(AC299&lt;=0.8,"Mayor","Catastrófico"))),"")</f>
        <v>Catastrófico</v>
      </c>
      <c r="AC299" s="171">
        <f>IFERROR(IF(AND(R298="Impacto",R299="Impacto"),(AC298-(+AC298*U299)),IF(R299="Impacto",(N298-(+N298*U299)),IF(R299="Probabilidad",AC298,""))),"")</f>
        <v>1</v>
      </c>
      <c r="AD299" s="174" t="str">
        <f t="shared" si="440"/>
        <v>Extremo</v>
      </c>
      <c r="AE299" s="170"/>
      <c r="AF299" s="132"/>
      <c r="AG299" s="194"/>
      <c r="AH299" s="195"/>
      <c r="AI299" s="176"/>
      <c r="AJ299" s="181"/>
      <c r="AK299" s="522"/>
      <c r="AL299" s="535"/>
      <c r="AM299" s="535"/>
      <c r="AN299" s="535"/>
      <c r="AO299" s="535"/>
      <c r="AP299" s="535"/>
      <c r="AQ299" s="535"/>
      <c r="AR299" s="535"/>
      <c r="AS299" s="158"/>
      <c r="AT299" s="158"/>
      <c r="AU299" s="158"/>
      <c r="AV299" s="158"/>
      <c r="AW299" s="158"/>
      <c r="AX299" s="158"/>
      <c r="AY299" s="158"/>
      <c r="AZ299" s="158"/>
      <c r="BA299" s="158"/>
      <c r="BB299" s="158"/>
      <c r="BC299" s="158"/>
      <c r="BD299" s="158"/>
      <c r="BE299" s="158"/>
      <c r="BF299" s="158"/>
      <c r="BG299" s="158"/>
      <c r="BH299" s="158"/>
      <c r="BI299" s="158"/>
      <c r="BJ299" s="158"/>
    </row>
    <row r="300" spans="2:62" ht="89.25" x14ac:dyDescent="0.2">
      <c r="B300" s="310"/>
      <c r="C300" s="311"/>
      <c r="D300" s="312"/>
      <c r="E300" s="313"/>
      <c r="F300" s="313"/>
      <c r="G300" s="304"/>
      <c r="H300" s="305"/>
      <c r="I300" s="306"/>
      <c r="J300" s="307"/>
      <c r="K300" s="308"/>
      <c r="L300" s="307">
        <f>IF(NOT(ISERROR(MATCH(K300,_xlfn.ANCHORARRAY(G547),0))),J549&amp;"Por favor no seleccionar los criterios de impacto",K300)</f>
        <v>0</v>
      </c>
      <c r="M300" s="306"/>
      <c r="N300" s="307"/>
      <c r="O300" s="309"/>
      <c r="P300" s="168">
        <v>3</v>
      </c>
      <c r="Q300" s="136" t="s">
        <v>614</v>
      </c>
      <c r="R300" s="169" t="s">
        <v>118</v>
      </c>
      <c r="S300" s="170" t="s">
        <v>133</v>
      </c>
      <c r="T300" s="170" t="s">
        <v>113</v>
      </c>
      <c r="U300" s="171" t="str">
        <f t="shared" si="441"/>
        <v>30%</v>
      </c>
      <c r="V300" s="170" t="s">
        <v>119</v>
      </c>
      <c r="W300" s="170" t="s">
        <v>115</v>
      </c>
      <c r="X300" s="170" t="s">
        <v>134</v>
      </c>
      <c r="Y300" s="172">
        <f>IFERROR(IF(AND(R299="Probabilidad",R300="Probabilidad"),(AA299-(+AA299*U300)),IF(AND(R299="Impacto",R300="Probabilidad"),(AA298-(+AA298*U300)),IF(R300="Impacto",AA299,""))),"")</f>
        <v>5.8799999999999991E-2</v>
      </c>
      <c r="Z300" s="173" t="str">
        <f t="shared" si="442"/>
        <v>Rara vez</v>
      </c>
      <c r="AA300" s="171">
        <f t="shared" si="443"/>
        <v>5.8799999999999991E-2</v>
      </c>
      <c r="AB300" s="173" t="str">
        <f t="shared" si="444"/>
        <v>Catastrófico</v>
      </c>
      <c r="AC300" s="171">
        <f>IFERROR(IF(AND(R299="Impacto",R300="Impacto"),(AC299-(+AC299*U300)),IF(AND(R299="Probabilidad",R300="Impacto"),(AC298-(+AC298*U300)),IF(R300="Probabilidad",AC299,""))),"")</f>
        <v>1</v>
      </c>
      <c r="AD300" s="174" t="str">
        <f t="shared" si="440"/>
        <v>Extremo</v>
      </c>
      <c r="AE300" s="196" t="s">
        <v>120</v>
      </c>
      <c r="AF300" s="136"/>
      <c r="AG300" s="203"/>
      <c r="AH300" s="202"/>
      <c r="AI300" s="187"/>
      <c r="AJ300" s="188"/>
      <c r="AK300" s="523"/>
      <c r="AL300" s="535"/>
      <c r="AM300" s="535"/>
      <c r="AN300" s="535"/>
      <c r="AO300" s="535"/>
      <c r="AP300" s="535"/>
      <c r="AQ300" s="535"/>
      <c r="AR300" s="535"/>
      <c r="AS300" s="158"/>
      <c r="AT300" s="158"/>
      <c r="AU300" s="158"/>
      <c r="AV300" s="158"/>
      <c r="AW300" s="158"/>
      <c r="AX300" s="158"/>
      <c r="AY300" s="158"/>
      <c r="AZ300" s="158"/>
      <c r="BA300" s="158"/>
      <c r="BB300" s="158"/>
      <c r="BC300" s="158"/>
      <c r="BD300" s="158"/>
      <c r="BE300" s="158"/>
      <c r="BF300" s="158"/>
      <c r="BG300" s="158"/>
      <c r="BH300" s="158"/>
      <c r="BI300" s="158"/>
      <c r="BJ300" s="158"/>
    </row>
    <row r="301" spans="2:62" s="163" customFormat="1" ht="76.5" x14ac:dyDescent="0.25">
      <c r="B301" s="310" t="s">
        <v>615</v>
      </c>
      <c r="C301" s="311" t="s">
        <v>359</v>
      </c>
      <c r="D301" s="312" t="s">
        <v>467</v>
      </c>
      <c r="E301" s="313" t="s">
        <v>127</v>
      </c>
      <c r="F301" s="313" t="s">
        <v>468</v>
      </c>
      <c r="G301" s="304" t="s">
        <v>523</v>
      </c>
      <c r="H301" s="305" t="s">
        <v>109</v>
      </c>
      <c r="I301" s="306" t="str">
        <f>IF(H301&lt;=0,"",IF(H301="No se ha presentado en los últimos 5 años","Rara vez",IF(H301="Al menos 1 vez en los últimos 5 años","Improbable",IF(H301="Al menos 1 vez en los últimos 2 años","Posible",IF(H301="Al menos 1 vez en el último año","Probable",IF(H301="Más de 1 vez al año","Casi Seguro"))))))</f>
        <v>Rara vez</v>
      </c>
      <c r="J301" s="307">
        <f>IF(I301="","",IF(I301="Rara vez",0.2,IF(I301="Improbable",0.4,IF(I301="Posible",0.6,IF(I301="Probable",0.8,IF(I301="Casi Seguro",1,))))))</f>
        <v>0.2</v>
      </c>
      <c r="K301" s="308" t="s">
        <v>131</v>
      </c>
      <c r="L301" s="307" t="str">
        <f>IF(NOT(ISERROR(MATCH(K301,'Tabla Impacto'!$B$220:$B$222,0))),'Tabla Impacto'!$F$222&amp;"Por favor no seleccionar los criterios de impacto(Criterios para calificar el impacto)",K301)</f>
        <v xml:space="preserve">Responder afirmativamente de DOCE a DIECINUEVE </v>
      </c>
      <c r="M301" s="306" t="str">
        <f>IF(OR(L301='Tabla Impacto'!$C$5),"Moderado",IF(OR(L301='Tabla Impacto'!$C$6),"Mayor",IF(OR(L301='Tabla Impacto'!$C$7),"Catastrófico","")))</f>
        <v>Catastrófico</v>
      </c>
      <c r="N301" s="307">
        <f>IF(M301="","",IF(M301="Leve",0.2,IF(M301="Menor",0.4,IF(M301="Moderado",0.6,IF(M301="Mayor",0.8,IF(M301="Catastrófico",1,))))))</f>
        <v>1</v>
      </c>
      <c r="O301" s="309" t="str">
        <f>IF(OR(AND(I301="Rara vez",M301="Leve"),AND(I301="Rara vez",M301="Menor"),AND(I301="Improbable",M301="Leve")),"Bajo",IF(OR(AND(I301="Rara vez",M301="Moderado"),AND(I301="Improbable",M301="Menor"),AND(I301="Improbable",M301="Moderado"),AND(I301="Posible",M301="Leve"),AND(I301="Posible",M301="Menor"),AND(I301="Posible",M301="Moderado"),AND(I301="Probable",M301="Leve"),AND(I301="Probable",M301="Menor")),"Moderado",IF(OR(AND(I301="Rara vez",M301="Mayor"),AND(I301="Improbable",M301="Mayor"),AND(I301="Posible",M301="Mayor"),AND(I301="Probable",M301="Moderado"),AND(I301="Probable",M301="Mayor"),AND(I301="Casi Seguro",M301="Leve"),AND(I301="Casi Seguro",M301="Menor"),AND(I301="Casi Seguro",M301="Moderado"),AND(I301="Casi Seguro",M301="Mayor")),"Alto",IF(OR(AND(I301="Rara vez",M301="Catastrófico"),AND(I301="Improbable",M301="Catastrófico"),AND(I301="Posible",M301="Catastrófico"),AND(I301="Probable",M301="Catastrófico"),AND(I301="Casi Seguro",M301="Catastrófico")),"Extremo",""))))</f>
        <v>Extremo</v>
      </c>
      <c r="P301" s="168">
        <v>1</v>
      </c>
      <c r="Q301" s="136" t="s">
        <v>616</v>
      </c>
      <c r="R301" s="169" t="str">
        <f>IF(OR(S301="Preventivo",S301="Detectivo"),"Probabilidad",IF(S301="Correctivo","Impacto",""))</f>
        <v>Probabilidad</v>
      </c>
      <c r="S301" s="170" t="s">
        <v>112</v>
      </c>
      <c r="T301" s="170" t="s">
        <v>113</v>
      </c>
      <c r="U301" s="171" t="str">
        <f>IF(AND(S301="Preventivo",T301="Automático"),"50%",IF(AND(S301="Preventivo",T301="Manual"),"40%",IF(AND(S301="Detectivo",T301="Automático"),"40%",IF(AND(S301="Detectivo",T301="Manual"),"30%",IF(AND(S301="Correctivo",T301="Automático"),"35%",IF(AND(S301="Correctivo",T301="Manual"),"25%",""))))))</f>
        <v>40%</v>
      </c>
      <c r="V301" s="170" t="s">
        <v>119</v>
      </c>
      <c r="W301" s="170" t="s">
        <v>115</v>
      </c>
      <c r="X301" s="170" t="s">
        <v>134</v>
      </c>
      <c r="Y301" s="172">
        <f>IFERROR(IF(R301="Probabilidad",(J301-(+J301*U301)),IF(R301="Impacto",J301,"")),"")</f>
        <v>0.12</v>
      </c>
      <c r="Z301" s="173" t="str">
        <f>IFERROR(IF(Y301="","",IF(Y301&lt;=0.2,"Rara vez",IF(Y301&lt;=0.4,"Improbable",IF(Y301&lt;=0.6,"Posible",IF(Y301&lt;=0.8,"Probable","Casi Seguro"))))),"")</f>
        <v>Rara vez</v>
      </c>
      <c r="AA301" s="171">
        <f>+Y301</f>
        <v>0.12</v>
      </c>
      <c r="AB301" s="173" t="str">
        <f>IFERROR(IF(AC301="","",IF(AC301&lt;=0.6,"Moderado",IF(AC301&lt;=0.8,"Mayor","Catastrófico"))),"")</f>
        <v>Catastrófico</v>
      </c>
      <c r="AC301" s="171">
        <f>IFERROR(IF(R301="Impacto",(N301-(+N301*U301)),IF(R301="Probabilidad",N301,"")),"")</f>
        <v>1</v>
      </c>
      <c r="AD301" s="174" t="str">
        <f t="shared" ref="AD301:AD309" si="445">IFERROR(IF(OR(AND(Z301="Rara vez",AB301="Leve"),AND(Z301="Rara vez",AB301="Menor"),AND(Z301="Improbable",AB301="Leve")),"Bajo",IF(OR(AND(Z301="Rara vez",AB301="Moderado"),AND(Z301="Improbable",AB301="Menor"),AND(Z301="Improbable",AB301="Moderado"),AND(Z301="Posible",AB301="Leve"),AND(Z301="Posible",AB301="Menor"),AND(Z301="Posible",AB301="Moderado"),AND(Z301="Probable",AB301="Leve"),AND(Z301="Probable",AB301="Menor")),"Moderado",IF(OR(AND(Z301="Rara vez",AB301="Mayor"),AND(Z301="Improbable",AB301="Mayor"),AND(Z301="Posible",AB301="Mayor"),AND(Z301="Probable",AB301="Moderado"),AND(Z301="Probable",AB301="Mayor"),AND(Z301="Casi Seguro",AB301="Leve"),AND(Z301="Casi Seguro",AB301="Menor"),AND(Z301="Casi Seguro",AB301="Moderado"),AND(Z301="Casi Seguro",AB301="Mayor")),"Alto",IF(OR(AND(Z301="Rara vez",AB301="Catastrófico"),AND(Z301="Improbable",AB301="Catastrófico"),AND(Z301="Posible",AB301="Catastrófico"),AND(Z301="Probable",AB301="Catastrófico"),AND(Z301="Casi Seguro",AB301="Catastrófico")),"Extremo","")))),"")</f>
        <v>Extremo</v>
      </c>
      <c r="AE301" s="170"/>
      <c r="AF301" s="123"/>
      <c r="AG301" s="123"/>
      <c r="AH301" s="175"/>
      <c r="AI301" s="176"/>
      <c r="AJ301" s="177"/>
      <c r="AK301" s="522"/>
      <c r="AL301" s="534"/>
      <c r="AM301" s="534"/>
      <c r="AN301" s="534"/>
      <c r="AO301" s="534"/>
      <c r="AP301" s="534"/>
      <c r="AQ301" s="534"/>
      <c r="AR301" s="534"/>
      <c r="AS301" s="178"/>
      <c r="AT301" s="178"/>
      <c r="AU301" s="178"/>
      <c r="AV301" s="178"/>
      <c r="AW301" s="178"/>
      <c r="AX301" s="178"/>
      <c r="AY301" s="178"/>
      <c r="AZ301" s="178"/>
      <c r="BA301" s="178"/>
      <c r="BB301" s="178"/>
      <c r="BC301" s="178"/>
      <c r="BD301" s="178"/>
      <c r="BE301" s="178"/>
      <c r="BF301" s="178"/>
      <c r="BG301" s="178"/>
      <c r="BH301" s="178"/>
      <c r="BI301" s="178"/>
      <c r="BJ301" s="178"/>
    </row>
    <row r="302" spans="2:62" ht="85.5" customHeight="1" x14ac:dyDescent="0.2">
      <c r="B302" s="310"/>
      <c r="C302" s="311"/>
      <c r="D302" s="312"/>
      <c r="E302" s="313"/>
      <c r="F302" s="313"/>
      <c r="G302" s="304"/>
      <c r="H302" s="305"/>
      <c r="I302" s="306"/>
      <c r="J302" s="307"/>
      <c r="K302" s="308"/>
      <c r="L302" s="307">
        <f>IF(NOT(ISERROR(MATCH(K302,_xlfn.ANCHORARRAY(G549),0))),J551&amp;"Por favor no seleccionar los criterios de impacto",K302)</f>
        <v>0</v>
      </c>
      <c r="M302" s="306"/>
      <c r="N302" s="307"/>
      <c r="O302" s="309"/>
      <c r="P302" s="168">
        <v>2</v>
      </c>
      <c r="Q302" s="136" t="s">
        <v>617</v>
      </c>
      <c r="R302" s="169" t="str">
        <f>IF(OR(S302="Preventivo",S302="Detectivo"),"Probabilidad",IF(S302="Correctivo","Impacto",""))</f>
        <v>Probabilidad</v>
      </c>
      <c r="S302" s="170" t="s">
        <v>133</v>
      </c>
      <c r="T302" s="170" t="s">
        <v>113</v>
      </c>
      <c r="U302" s="171" t="str">
        <f t="shared" ref="U302:U303" si="446">IF(AND(S302="Preventivo",T302="Automático"),"50%",IF(AND(S302="Preventivo",T302="Manual"),"40%",IF(AND(S302="Detectivo",T302="Automático"),"40%",IF(AND(S302="Detectivo",T302="Manual"),"30%",IF(AND(S302="Correctivo",T302="Automático"),"35%",IF(AND(S302="Correctivo",T302="Manual"),"25%",""))))))</f>
        <v>30%</v>
      </c>
      <c r="V302" s="170" t="s">
        <v>114</v>
      </c>
      <c r="W302" s="170" t="s">
        <v>115</v>
      </c>
      <c r="X302" s="170" t="s">
        <v>134</v>
      </c>
      <c r="Y302" s="172">
        <f>IFERROR(IF(AND(R301="Probabilidad",R302="Probabilidad"),(AA301-(+AA301*U302)),IF(R302="Probabilidad",(J301-(+J301*U302)),IF(R302="Impacto",AA301,""))),"")</f>
        <v>8.3999999999999991E-2</v>
      </c>
      <c r="Z302" s="173" t="str">
        <f t="shared" ref="Z302:Z303" si="447">IFERROR(IF(Y302="","",IF(Y302&lt;=0.2,"Rara vez",IF(Y302&lt;=0.4,"Improbable",IF(Y302&lt;=0.6,"Posible",IF(Y302&lt;=0.8,"Probable","Casi Seguro"))))),"")</f>
        <v>Rara vez</v>
      </c>
      <c r="AA302" s="171">
        <f t="shared" ref="AA302:AA303" si="448">+Y302</f>
        <v>8.3999999999999991E-2</v>
      </c>
      <c r="AB302" s="173" t="str">
        <f t="shared" ref="AB302:AB303" si="449">IFERROR(IF(AC302="","",IF(AC302&lt;=0.6,"Moderado",IF(AC302&lt;=0.8,"Mayor","Catastrófico"))),"")</f>
        <v>Catastrófico</v>
      </c>
      <c r="AC302" s="171">
        <f>IFERROR(IF(AND(R301="Impacto",R302="Impacto"),(AC301-(+AC301*U302)),IF(R302="Impacto",(N301-(+N301*U302)),IF(R302="Probabilidad",AC301,""))),"")</f>
        <v>1</v>
      </c>
      <c r="AD302" s="174" t="str">
        <f t="shared" si="445"/>
        <v>Extremo</v>
      </c>
      <c r="AE302" s="170"/>
      <c r="AF302" s="132"/>
      <c r="AG302" s="194"/>
      <c r="AH302" s="195"/>
      <c r="AI302" s="176"/>
      <c r="AJ302" s="181"/>
      <c r="AK302" s="522"/>
      <c r="AL302" s="535"/>
      <c r="AM302" s="535"/>
      <c r="AN302" s="535"/>
      <c r="AO302" s="535"/>
      <c r="AP302" s="535"/>
      <c r="AQ302" s="535"/>
      <c r="AR302" s="535"/>
      <c r="AS302" s="158"/>
      <c r="AT302" s="158"/>
      <c r="AU302" s="158"/>
      <c r="AV302" s="158"/>
      <c r="AW302" s="158"/>
      <c r="AX302" s="158"/>
      <c r="AY302" s="158"/>
      <c r="AZ302" s="158"/>
      <c r="BA302" s="158"/>
      <c r="BB302" s="158"/>
      <c r="BC302" s="158"/>
      <c r="BD302" s="158"/>
      <c r="BE302" s="158"/>
      <c r="BF302" s="158"/>
      <c r="BG302" s="158"/>
      <c r="BH302" s="158"/>
      <c r="BI302" s="158"/>
      <c r="BJ302" s="158"/>
    </row>
    <row r="303" spans="2:62" ht="76.5" x14ac:dyDescent="0.2">
      <c r="B303" s="310"/>
      <c r="C303" s="311"/>
      <c r="D303" s="312"/>
      <c r="E303" s="313"/>
      <c r="F303" s="313"/>
      <c r="G303" s="304"/>
      <c r="H303" s="305"/>
      <c r="I303" s="306"/>
      <c r="J303" s="307"/>
      <c r="K303" s="308"/>
      <c r="L303" s="307">
        <f>IF(NOT(ISERROR(MATCH(K303,_xlfn.ANCHORARRAY(G550),0))),J552&amp;"Por favor no seleccionar los criterios de impacto",K303)</f>
        <v>0</v>
      </c>
      <c r="M303" s="306"/>
      <c r="N303" s="307"/>
      <c r="O303" s="309"/>
      <c r="P303" s="168">
        <v>3</v>
      </c>
      <c r="Q303" s="151" t="s">
        <v>618</v>
      </c>
      <c r="R303" s="169" t="s">
        <v>118</v>
      </c>
      <c r="S303" s="182" t="s">
        <v>137</v>
      </c>
      <c r="T303" s="170" t="s">
        <v>113</v>
      </c>
      <c r="U303" s="171" t="str">
        <f t="shared" si="446"/>
        <v>25%</v>
      </c>
      <c r="V303" s="170" t="s">
        <v>119</v>
      </c>
      <c r="W303" s="170" t="s">
        <v>115</v>
      </c>
      <c r="X303" s="170" t="s">
        <v>134</v>
      </c>
      <c r="Y303" s="172">
        <f>IFERROR(IF(AND(R302="Probabilidad",R303="Probabilidad"),(AA302-(+AA302*U303)),IF(AND(R302="Impacto",R303="Probabilidad"),(AA301-(+AA301*U303)),IF(R303="Impacto",AA302,""))),"")</f>
        <v>6.3E-2</v>
      </c>
      <c r="Z303" s="173" t="str">
        <f t="shared" si="447"/>
        <v>Rara vez</v>
      </c>
      <c r="AA303" s="171">
        <f t="shared" si="448"/>
        <v>6.3E-2</v>
      </c>
      <c r="AB303" s="173" t="str">
        <f t="shared" si="449"/>
        <v>Catastrófico</v>
      </c>
      <c r="AC303" s="171">
        <f>IFERROR(IF(AND(R302="Impacto",R303="Impacto"),(AC302-(+AC302*U303)),IF(AND(R302="Probabilidad",R303="Impacto"),(AC301-(+AC301*U303)),IF(R303="Probabilidad",AC302,""))),"")</f>
        <v>1</v>
      </c>
      <c r="AD303" s="174" t="str">
        <f t="shared" si="445"/>
        <v>Extremo</v>
      </c>
      <c r="AE303" s="196" t="s">
        <v>120</v>
      </c>
      <c r="AF303" s="136"/>
      <c r="AG303" s="203"/>
      <c r="AH303" s="202"/>
      <c r="AI303" s="187"/>
      <c r="AJ303" s="188"/>
      <c r="AK303" s="523"/>
      <c r="AL303" s="535"/>
      <c r="AM303" s="535"/>
      <c r="AN303" s="535"/>
      <c r="AO303" s="535"/>
      <c r="AP303" s="535"/>
      <c r="AQ303" s="535"/>
      <c r="AR303" s="535"/>
      <c r="AS303" s="158"/>
      <c r="AT303" s="158"/>
      <c r="AU303" s="158"/>
      <c r="AV303" s="158"/>
      <c r="AW303" s="158"/>
      <c r="AX303" s="158"/>
      <c r="AY303" s="158"/>
      <c r="AZ303" s="158"/>
      <c r="BA303" s="158"/>
      <c r="BB303" s="158"/>
      <c r="BC303" s="158"/>
      <c r="BD303" s="158"/>
      <c r="BE303" s="158"/>
      <c r="BF303" s="158"/>
      <c r="BG303" s="158"/>
      <c r="BH303" s="158"/>
      <c r="BI303" s="158"/>
      <c r="BJ303" s="158"/>
    </row>
    <row r="304" spans="2:62" s="163" customFormat="1" ht="129" customHeight="1" x14ac:dyDescent="0.25">
      <c r="B304" s="310" t="s">
        <v>619</v>
      </c>
      <c r="C304" s="311" t="s">
        <v>359</v>
      </c>
      <c r="D304" s="312" t="s">
        <v>474</v>
      </c>
      <c r="E304" s="313" t="s">
        <v>127</v>
      </c>
      <c r="F304" s="313" t="s">
        <v>620</v>
      </c>
      <c r="G304" s="304" t="s">
        <v>621</v>
      </c>
      <c r="H304" s="305" t="s">
        <v>130</v>
      </c>
      <c r="I304" s="306" t="str">
        <f>IF(H304&lt;=0,"",IF(H304="No se ha presentado en los últimos 5 años","Rara vez",IF(H304="Al menos 1 vez en los últimos 5 años","Improbable",IF(H304="Al menos 1 vez en los últimos 2 años","Posible",IF(H304="Al menos 1 vez en el último año","Probable",IF(H304="Más de 1 vez al año","Casi Seguro"))))))</f>
        <v>Improbable</v>
      </c>
      <c r="J304" s="307">
        <f>IF(I304="","",IF(I304="Rara vez",0.2,IF(I304="Improbable",0.4,IF(I304="Posible",0.6,IF(I304="Probable",0.8,IF(I304="Casi Seguro",1,))))))</f>
        <v>0.4</v>
      </c>
      <c r="K304" s="308" t="s">
        <v>131</v>
      </c>
      <c r="L304" s="307" t="str">
        <f>IF(NOT(ISERROR(MATCH(K304,'Tabla Impacto'!$B$220:$B$222,0))),'Tabla Impacto'!$F$222&amp;"Por favor no seleccionar los criterios de impacto(Criterios para calificar el impacto)",K304)</f>
        <v xml:space="preserve">Responder afirmativamente de DOCE a DIECINUEVE </v>
      </c>
      <c r="M304" s="306" t="str">
        <f>IF(OR(L304='Tabla Impacto'!$C$5),"Moderado",IF(OR(L304='Tabla Impacto'!$C$6),"Mayor",IF(OR(L304='Tabla Impacto'!$C$7),"Catastrófico","")))</f>
        <v>Catastrófico</v>
      </c>
      <c r="N304" s="307">
        <f>IF(M304="","",IF(M304="Leve",0.2,IF(M304="Menor",0.4,IF(M304="Moderado",0.6,IF(M304="Mayor",0.8,IF(M304="Catastrófico",1,))))))</f>
        <v>1</v>
      </c>
      <c r="O304" s="309" t="str">
        <f>IF(OR(AND(I304="Rara vez",M304="Leve"),AND(I304="Rara vez",M304="Menor"),AND(I304="Improbable",M304="Leve")),"Bajo",IF(OR(AND(I304="Rara vez",M304="Moderado"),AND(I304="Improbable",M304="Menor"),AND(I304="Improbable",M304="Moderado"),AND(I304="Posible",M304="Leve"),AND(I304="Posible",M304="Menor"),AND(I304="Posible",M304="Moderado"),AND(I304="Probable",M304="Leve"),AND(I304="Probable",M304="Menor")),"Moderado",IF(OR(AND(I304="Rara vez",M304="Mayor"),AND(I304="Improbable",M304="Mayor"),AND(I304="Posible",M304="Mayor"),AND(I304="Probable",M304="Moderado"),AND(I304="Probable",M304="Mayor"),AND(I304="Casi Seguro",M304="Leve"),AND(I304="Casi Seguro",M304="Menor"),AND(I304="Casi Seguro",M304="Moderado"),AND(I304="Casi Seguro",M304="Mayor")),"Alto",IF(OR(AND(I304="Rara vez",M304="Catastrófico"),AND(I304="Improbable",M304="Catastrófico"),AND(I304="Posible",M304="Catastrófico"),AND(I304="Probable",M304="Catastrófico"),AND(I304="Casi Seguro",M304="Catastrófico")),"Extremo",""))))</f>
        <v>Extremo</v>
      </c>
      <c r="P304" s="223">
        <v>1</v>
      </c>
      <c r="Q304" s="152" t="s">
        <v>622</v>
      </c>
      <c r="R304" s="224" t="str">
        <f>IF(OR(S304="Preventivo",S304="Detectivo"),"Probabilidad",IF(S304="Correctivo","Impacto",""))</f>
        <v>Probabilidad</v>
      </c>
      <c r="S304" s="170" t="s">
        <v>112</v>
      </c>
      <c r="T304" s="170" t="s">
        <v>113</v>
      </c>
      <c r="U304" s="171" t="str">
        <f>IF(AND(S304="Preventivo",T304="Automático"),"50%",IF(AND(S304="Preventivo",T304="Manual"),"40%",IF(AND(S304="Detectivo",T304="Automático"),"40%",IF(AND(S304="Detectivo",T304="Manual"),"30%",IF(AND(S304="Correctivo",T304="Automático"),"35%",IF(AND(S304="Correctivo",T304="Manual"),"25%",""))))))</f>
        <v>40%</v>
      </c>
      <c r="V304" s="170" t="s">
        <v>119</v>
      </c>
      <c r="W304" s="170" t="s">
        <v>115</v>
      </c>
      <c r="X304" s="170" t="s">
        <v>134</v>
      </c>
      <c r="Y304" s="172">
        <f>IFERROR(IF(R304="Probabilidad",(J304-(+J304*U304)),IF(R304="Impacto",J304,"")),"")</f>
        <v>0.24</v>
      </c>
      <c r="Z304" s="173" t="str">
        <f>IFERROR(IF(Y304="","",IF(Y304&lt;=0.2,"Rara vez",IF(Y304&lt;=0.4,"Improbable",IF(Y304&lt;=0.6,"Posible",IF(Y304&lt;=0.8,"Probable","Casi Seguro"))))),"")</f>
        <v>Improbable</v>
      </c>
      <c r="AA304" s="171">
        <f>+Y304</f>
        <v>0.24</v>
      </c>
      <c r="AB304" s="173" t="str">
        <f>IFERROR(IF(AC304="","",IF(AC304&lt;=0.6,"Moderado",IF(AC304&lt;=0.8,"Mayor","Catastrófico"))),"")</f>
        <v>Catastrófico</v>
      </c>
      <c r="AC304" s="171">
        <f>IFERROR(IF(R304="Impacto",(N304-(+N304*U304)),IF(R304="Probabilidad",N304,"")),"")</f>
        <v>1</v>
      </c>
      <c r="AD304" s="174" t="str">
        <f t="shared" si="445"/>
        <v>Extremo</v>
      </c>
      <c r="AE304" s="170"/>
      <c r="AF304" s="123"/>
      <c r="AG304" s="123"/>
      <c r="AH304" s="175"/>
      <c r="AI304" s="176"/>
      <c r="AJ304" s="177"/>
      <c r="AK304" s="522"/>
      <c r="AL304" s="534"/>
      <c r="AM304" s="534"/>
      <c r="AN304" s="534"/>
      <c r="AO304" s="534"/>
      <c r="AP304" s="534"/>
      <c r="AQ304" s="534"/>
      <c r="AR304" s="534"/>
      <c r="AS304" s="178"/>
      <c r="AT304" s="178"/>
      <c r="AU304" s="178"/>
      <c r="AV304" s="178"/>
      <c r="AW304" s="178"/>
      <c r="AX304" s="178"/>
      <c r="AY304" s="178"/>
      <c r="AZ304" s="178"/>
      <c r="BA304" s="178"/>
      <c r="BB304" s="178"/>
      <c r="BC304" s="178"/>
      <c r="BD304" s="178"/>
      <c r="BE304" s="178"/>
      <c r="BF304" s="178"/>
      <c r="BG304" s="178"/>
      <c r="BH304" s="178"/>
      <c r="BI304" s="178"/>
      <c r="BJ304" s="178"/>
    </row>
    <row r="305" spans="2:62" ht="75" x14ac:dyDescent="0.2">
      <c r="B305" s="310"/>
      <c r="C305" s="311"/>
      <c r="D305" s="312"/>
      <c r="E305" s="313"/>
      <c r="F305" s="313"/>
      <c r="G305" s="304"/>
      <c r="H305" s="305"/>
      <c r="I305" s="306"/>
      <c r="J305" s="307"/>
      <c r="K305" s="308"/>
      <c r="L305" s="307">
        <f>IF(NOT(ISERROR(MATCH(K305,_xlfn.ANCHORARRAY(G552),0))),J554&amp;"Por favor no seleccionar los criterios de impacto",K305)</f>
        <v>0</v>
      </c>
      <c r="M305" s="306"/>
      <c r="N305" s="307"/>
      <c r="O305" s="309"/>
      <c r="P305" s="223">
        <v>2</v>
      </c>
      <c r="Q305" s="152" t="s">
        <v>623</v>
      </c>
      <c r="R305" s="224" t="str">
        <f>IF(OR(S305="Preventivo",S305="Detectivo"),"Probabilidad",IF(S305="Correctivo","Impacto",""))</f>
        <v>Probabilidad</v>
      </c>
      <c r="S305" s="170" t="s">
        <v>133</v>
      </c>
      <c r="T305" s="170" t="s">
        <v>113</v>
      </c>
      <c r="U305" s="171" t="str">
        <f t="shared" ref="U305:U307" si="450">IF(AND(S305="Preventivo",T305="Automático"),"50%",IF(AND(S305="Preventivo",T305="Manual"),"40%",IF(AND(S305="Detectivo",T305="Automático"),"40%",IF(AND(S305="Detectivo",T305="Manual"),"30%",IF(AND(S305="Correctivo",T305="Automático"),"35%",IF(AND(S305="Correctivo",T305="Manual"),"25%",""))))))</f>
        <v>30%</v>
      </c>
      <c r="V305" s="170" t="s">
        <v>114</v>
      </c>
      <c r="W305" s="170" t="s">
        <v>115</v>
      </c>
      <c r="X305" s="170" t="s">
        <v>134</v>
      </c>
      <c r="Y305" s="172">
        <f>IFERROR(IF(AND(R304="Probabilidad",R305="Probabilidad"),(AA304-(+AA304*U305)),IF(R305="Probabilidad",(J304-(+J304*U305)),IF(R305="Impacto",AA304,""))),"")</f>
        <v>0.16799999999999998</v>
      </c>
      <c r="Z305" s="173" t="str">
        <f t="shared" ref="Z305:Z307" si="451">IFERROR(IF(Y305="","",IF(Y305&lt;=0.2,"Rara vez",IF(Y305&lt;=0.4,"Improbable",IF(Y305&lt;=0.6,"Posible",IF(Y305&lt;=0.8,"Probable","Casi Seguro"))))),"")</f>
        <v>Rara vez</v>
      </c>
      <c r="AA305" s="171">
        <f t="shared" ref="AA305:AA307" si="452">+Y305</f>
        <v>0.16799999999999998</v>
      </c>
      <c r="AB305" s="173" t="str">
        <f t="shared" ref="AB305:AB307" si="453">IFERROR(IF(AC305="","",IF(AC305&lt;=0.6,"Moderado",IF(AC305&lt;=0.8,"Mayor","Catastrófico"))),"")</f>
        <v>Catastrófico</v>
      </c>
      <c r="AC305" s="171">
        <f>IFERROR(IF(AND(R304="Impacto",R305="Impacto"),(AC304-(+AC304*U305)),IF(R305="Impacto",(N304-(+N304*U305)),IF(R305="Probabilidad",AC304,""))),"")</f>
        <v>1</v>
      </c>
      <c r="AD305" s="174" t="str">
        <f t="shared" si="445"/>
        <v>Extremo</v>
      </c>
      <c r="AE305" s="170"/>
      <c r="AF305" s="132"/>
      <c r="AG305" s="194"/>
      <c r="AH305" s="195"/>
      <c r="AI305" s="176"/>
      <c r="AJ305" s="181"/>
      <c r="AK305" s="522"/>
      <c r="AL305" s="535"/>
      <c r="AM305" s="535"/>
      <c r="AN305" s="535"/>
      <c r="AO305" s="535"/>
      <c r="AP305" s="535"/>
      <c r="AQ305" s="535"/>
      <c r="AR305" s="535"/>
      <c r="AS305" s="158"/>
      <c r="AT305" s="158"/>
      <c r="AU305" s="158"/>
      <c r="AV305" s="158"/>
      <c r="AW305" s="158"/>
      <c r="AX305" s="158"/>
      <c r="AY305" s="158"/>
      <c r="AZ305" s="158"/>
      <c r="BA305" s="158"/>
      <c r="BB305" s="158"/>
      <c r="BC305" s="158"/>
      <c r="BD305" s="158"/>
      <c r="BE305" s="158"/>
      <c r="BF305" s="158"/>
      <c r="BG305" s="158"/>
      <c r="BH305" s="158"/>
      <c r="BI305" s="158"/>
      <c r="BJ305" s="158"/>
    </row>
    <row r="306" spans="2:62" ht="65.25" x14ac:dyDescent="0.2">
      <c r="B306" s="310"/>
      <c r="C306" s="311"/>
      <c r="D306" s="312"/>
      <c r="E306" s="313"/>
      <c r="F306" s="313"/>
      <c r="G306" s="304"/>
      <c r="H306" s="305"/>
      <c r="I306" s="306"/>
      <c r="J306" s="307"/>
      <c r="K306" s="308"/>
      <c r="L306" s="307">
        <f>IF(NOT(ISERROR(MATCH(K306,_xlfn.ANCHORARRAY(G553),0))),J555&amp;"Por favor no seleccionar los criterios de impacto",K306)</f>
        <v>0</v>
      </c>
      <c r="M306" s="306"/>
      <c r="N306" s="307"/>
      <c r="O306" s="309"/>
      <c r="P306" s="223">
        <v>3</v>
      </c>
      <c r="Q306" s="152" t="s">
        <v>624</v>
      </c>
      <c r="R306" s="224" t="s">
        <v>118</v>
      </c>
      <c r="S306" s="170" t="s">
        <v>133</v>
      </c>
      <c r="T306" s="170" t="s">
        <v>113</v>
      </c>
      <c r="U306" s="171" t="str">
        <f t="shared" si="450"/>
        <v>30%</v>
      </c>
      <c r="V306" s="170" t="s">
        <v>119</v>
      </c>
      <c r="W306" s="170" t="s">
        <v>115</v>
      </c>
      <c r="X306" s="170" t="s">
        <v>134</v>
      </c>
      <c r="Y306" s="172">
        <f>IFERROR(IF(AND(R305="Probabilidad",R306="Probabilidad"),(AA305-(+AA305*U306)),IF(AND(R305="Impacto",R306="Probabilidad"),(AA304-(+AA304*U306)),IF(R306="Impacto",AA305,""))),"")</f>
        <v>0.11759999999999998</v>
      </c>
      <c r="Z306" s="173" t="str">
        <f t="shared" si="451"/>
        <v>Rara vez</v>
      </c>
      <c r="AA306" s="171">
        <f t="shared" si="452"/>
        <v>0.11759999999999998</v>
      </c>
      <c r="AB306" s="173" t="str">
        <f t="shared" si="453"/>
        <v>Catastrófico</v>
      </c>
      <c r="AC306" s="171">
        <f>IFERROR(IF(AND(R305="Impacto",R306="Impacto"),(AC305-(+AC305*U306)),IF(AND(R305="Probabilidad",R306="Impacto"),(AC304-(+AC304*U306)),IF(R306="Probabilidad",AC305,""))),"")</f>
        <v>1</v>
      </c>
      <c r="AD306" s="174" t="str">
        <f t="shared" si="445"/>
        <v>Extremo</v>
      </c>
      <c r="AE306" s="196"/>
      <c r="AF306" s="136"/>
      <c r="AG306" s="137"/>
      <c r="AH306" s="131"/>
      <c r="AI306" s="187"/>
      <c r="AJ306" s="188"/>
      <c r="AK306" s="523"/>
      <c r="AL306" s="535"/>
      <c r="AM306" s="535"/>
      <c r="AN306" s="535"/>
      <c r="AO306" s="535"/>
      <c r="AP306" s="535"/>
      <c r="AQ306" s="535"/>
      <c r="AR306" s="535"/>
      <c r="AS306" s="158"/>
      <c r="AT306" s="158"/>
      <c r="AU306" s="158"/>
      <c r="AV306" s="158"/>
      <c r="AW306" s="158"/>
      <c r="AX306" s="158"/>
      <c r="AY306" s="158"/>
      <c r="AZ306" s="158"/>
      <c r="BA306" s="158"/>
      <c r="BB306" s="158"/>
      <c r="BC306" s="158"/>
      <c r="BD306" s="158"/>
      <c r="BE306" s="158"/>
      <c r="BF306" s="158"/>
      <c r="BG306" s="158"/>
      <c r="BH306" s="158"/>
      <c r="BI306" s="158"/>
      <c r="BJ306" s="158"/>
    </row>
    <row r="307" spans="2:62" ht="76.5" x14ac:dyDescent="0.2">
      <c r="B307" s="310"/>
      <c r="C307" s="311"/>
      <c r="D307" s="312"/>
      <c r="E307" s="313"/>
      <c r="F307" s="313"/>
      <c r="G307" s="304"/>
      <c r="H307" s="305"/>
      <c r="I307" s="306"/>
      <c r="J307" s="307"/>
      <c r="K307" s="308"/>
      <c r="L307" s="307">
        <f>IF(NOT(ISERROR(MATCH(K307,_xlfn.ANCHORARRAY(G554),0))),J556&amp;"Por favor no seleccionar los criterios de impacto",K307)</f>
        <v>0</v>
      </c>
      <c r="M307" s="306"/>
      <c r="N307" s="307"/>
      <c r="O307" s="309"/>
      <c r="P307" s="223">
        <v>4</v>
      </c>
      <c r="Q307" s="152" t="s">
        <v>625</v>
      </c>
      <c r="R307" s="224" t="s">
        <v>136</v>
      </c>
      <c r="S307" s="182" t="s">
        <v>137</v>
      </c>
      <c r="T307" s="170" t="s">
        <v>113</v>
      </c>
      <c r="U307" s="171" t="str">
        <f t="shared" si="450"/>
        <v>25%</v>
      </c>
      <c r="V307" s="170" t="s">
        <v>119</v>
      </c>
      <c r="W307" s="170" t="s">
        <v>115</v>
      </c>
      <c r="X307" s="170" t="s">
        <v>134</v>
      </c>
      <c r="Y307" s="172">
        <f t="shared" ref="Y307" si="454">IFERROR(IF(AND(R306="Probabilidad",R307="Probabilidad"),(AA306-(+AA306*U307)),IF(AND(R306="Impacto",R307="Probabilidad"),(AA305-(+AA305*U307)),IF(R307="Impacto",AA306,""))),"")</f>
        <v>0.11759999999999998</v>
      </c>
      <c r="Z307" s="173" t="str">
        <f t="shared" si="451"/>
        <v>Rara vez</v>
      </c>
      <c r="AA307" s="171">
        <f t="shared" si="452"/>
        <v>0.11759999999999998</v>
      </c>
      <c r="AB307" s="173" t="str">
        <f t="shared" si="453"/>
        <v>Mayor</v>
      </c>
      <c r="AC307" s="171">
        <f t="shared" ref="AC307" si="455">IFERROR(IF(AND(R306="Impacto",R307="Impacto"),(AC306-(+AC306*U307)),IF(AND(R306="Probabilidad",R307="Impacto"),(AC305-(+AC305*U307)),IF(R307="Probabilidad",AC306,""))),"")</f>
        <v>0.75</v>
      </c>
      <c r="AD307" s="174" t="str">
        <f t="shared" si="445"/>
        <v>Alto</v>
      </c>
      <c r="AE307" s="170" t="s">
        <v>120</v>
      </c>
      <c r="AF307" s="136"/>
      <c r="AG307" s="136"/>
      <c r="AH307" s="202"/>
      <c r="AI307" s="203"/>
      <c r="AJ307" s="136"/>
      <c r="AK307" s="525"/>
      <c r="AL307" s="535"/>
      <c r="AM307" s="535"/>
      <c r="AN307" s="535"/>
      <c r="AO307" s="535"/>
      <c r="AP307" s="535"/>
      <c r="AQ307" s="535"/>
      <c r="AR307" s="535"/>
      <c r="AS307" s="158"/>
      <c r="AT307" s="158"/>
      <c r="AU307" s="158"/>
      <c r="AV307" s="158"/>
      <c r="AW307" s="158"/>
      <c r="AX307" s="158"/>
      <c r="AY307" s="158"/>
      <c r="AZ307" s="158"/>
      <c r="BA307" s="158"/>
      <c r="BB307" s="158"/>
      <c r="BC307" s="158"/>
      <c r="BD307" s="158"/>
      <c r="BE307" s="158"/>
      <c r="BF307" s="158"/>
      <c r="BG307" s="158"/>
      <c r="BH307" s="158"/>
      <c r="BI307" s="158"/>
      <c r="BJ307" s="158"/>
    </row>
    <row r="308" spans="2:62" s="163" customFormat="1" ht="65.25" x14ac:dyDescent="0.25">
      <c r="B308" s="310" t="s">
        <v>626</v>
      </c>
      <c r="C308" s="311" t="s">
        <v>359</v>
      </c>
      <c r="D308" s="312" t="s">
        <v>149</v>
      </c>
      <c r="E308" s="313" t="s">
        <v>127</v>
      </c>
      <c r="F308" s="313" t="s">
        <v>528</v>
      </c>
      <c r="G308" s="304" t="s">
        <v>493</v>
      </c>
      <c r="H308" s="305" t="s">
        <v>109</v>
      </c>
      <c r="I308" s="306" t="str">
        <f>IF(H308&lt;=0,"",IF(H308="No se ha presentado en los últimos 5 años","Rara vez",IF(H308="Al menos 1 vez en los últimos 5 años","Improbable",IF(H308="Al menos 1 vez en los últimos 2 años","Posible",IF(H308="Al menos 1 vez en el último año","Probable",IF(H308="Más de 1 vez al año","Casi Seguro"))))))</f>
        <v>Rara vez</v>
      </c>
      <c r="J308" s="307">
        <f>IF(I308="","",IF(I308="Rara vez",0.2,IF(I308="Improbable",0.4,IF(I308="Posible",0.6,IF(I308="Probable",0.8,IF(I308="Casi Seguro",1,))))))</f>
        <v>0.2</v>
      </c>
      <c r="K308" s="308" t="s">
        <v>131</v>
      </c>
      <c r="L308" s="307" t="str">
        <f>IF(NOT(ISERROR(MATCH(K308,'Tabla Impacto'!$B$220:$B$222,0))),'Tabla Impacto'!$F$222&amp;"Por favor no seleccionar los criterios de impacto(Criterios para calificar el impacto)",K308)</f>
        <v xml:space="preserve">Responder afirmativamente de DOCE a DIECINUEVE </v>
      </c>
      <c r="M308" s="306" t="str">
        <f>IF(OR(L308='Tabla Impacto'!$C$5),"Moderado",IF(OR(L308='Tabla Impacto'!$C$6),"Mayor",IF(OR(L308='Tabla Impacto'!$C$7),"Catastrófico","")))</f>
        <v>Catastrófico</v>
      </c>
      <c r="N308" s="307">
        <f>IF(M308="","",IF(M308="Leve",0.2,IF(M308="Menor",0.4,IF(M308="Moderado",0.6,IF(M308="Mayor",0.8,IF(M308="Catastrófico",1,))))))</f>
        <v>1</v>
      </c>
      <c r="O308" s="309" t="str">
        <f>IF(OR(AND(I308="Rara vez",M308="Leve"),AND(I308="Rara vez",M308="Menor"),AND(I308="Improbable",M308="Leve")),"Bajo",IF(OR(AND(I308="Rara vez",M308="Moderado"),AND(I308="Improbable",M308="Menor"),AND(I308="Improbable",M308="Moderado"),AND(I308="Posible",M308="Leve"),AND(I308="Posible",M308="Menor"),AND(I308="Posible",M308="Moderado"),AND(I308="Probable",M308="Leve"),AND(I308="Probable",M308="Menor")),"Moderado",IF(OR(AND(I308="Rara vez",M308="Mayor"),AND(I308="Improbable",M308="Mayor"),AND(I308="Posible",M308="Mayor"),AND(I308="Probable",M308="Moderado"),AND(I308="Probable",M308="Mayor"),AND(I308="Casi Seguro",M308="Leve"),AND(I308="Casi Seguro",M308="Menor"),AND(I308="Casi Seguro",M308="Moderado"),AND(I308="Casi Seguro",M308="Mayor")),"Alto",IF(OR(AND(I308="Rara vez",M308="Catastrófico"),AND(I308="Improbable",M308="Catastrófico"),AND(I308="Posible",M308="Catastrófico"),AND(I308="Probable",M308="Catastrófico"),AND(I308="Casi Seguro",M308="Catastrófico")),"Extremo",""))))</f>
        <v>Extremo</v>
      </c>
      <c r="P308" s="168">
        <v>1</v>
      </c>
      <c r="Q308" s="123" t="s">
        <v>627</v>
      </c>
      <c r="R308" s="169" t="str">
        <f>IF(OR(S308="Preventivo",S308="Detectivo"),"Probabilidad",IF(S308="Correctivo","Impacto",""))</f>
        <v>Probabilidad</v>
      </c>
      <c r="S308" s="170" t="s">
        <v>112</v>
      </c>
      <c r="T308" s="170" t="s">
        <v>113</v>
      </c>
      <c r="U308" s="171" t="str">
        <f>IF(AND(S308="Preventivo",T308="Automático"),"50%",IF(AND(S308="Preventivo",T308="Manual"),"40%",IF(AND(S308="Detectivo",T308="Automático"),"40%",IF(AND(S308="Detectivo",T308="Manual"),"30%",IF(AND(S308="Correctivo",T308="Automático"),"35%",IF(AND(S308="Correctivo",T308="Manual"),"25%",""))))))</f>
        <v>40%</v>
      </c>
      <c r="V308" s="170" t="s">
        <v>119</v>
      </c>
      <c r="W308" s="170" t="s">
        <v>115</v>
      </c>
      <c r="X308" s="170" t="s">
        <v>134</v>
      </c>
      <c r="Y308" s="172">
        <f>IFERROR(IF(R308="Probabilidad",(J308-(+J308*U308)),IF(R308="Impacto",J308,"")),"")</f>
        <v>0.12</v>
      </c>
      <c r="Z308" s="173" t="str">
        <f>IFERROR(IF(Y308="","",IF(Y308&lt;=0.2,"Rara vez",IF(Y308&lt;=0.4,"Improbable",IF(Y308&lt;=0.6,"Posible",IF(Y308&lt;=0.8,"Probable","Casi Seguro"))))),"")</f>
        <v>Rara vez</v>
      </c>
      <c r="AA308" s="171">
        <f>+Y308</f>
        <v>0.12</v>
      </c>
      <c r="AB308" s="173" t="str">
        <f>IFERROR(IF(AC308="","",IF(AC308&lt;=0.6,"Moderado",IF(AC308&lt;=0.8,"Mayor","Catastrófico"))),"")</f>
        <v>Catastrófico</v>
      </c>
      <c r="AC308" s="171">
        <f>IFERROR(IF(R308="Impacto",(N308-(+N308*U308)),IF(R308="Probabilidad",N308,"")),"")</f>
        <v>1</v>
      </c>
      <c r="AD308" s="174" t="str">
        <f t="shared" si="445"/>
        <v>Extremo</v>
      </c>
      <c r="AE308" s="170"/>
      <c r="AF308" s="123"/>
      <c r="AG308" s="123"/>
      <c r="AH308" s="175"/>
      <c r="AI308" s="176"/>
      <c r="AJ308" s="177"/>
      <c r="AK308" s="522"/>
      <c r="AL308" s="534"/>
      <c r="AM308" s="534"/>
      <c r="AN308" s="534"/>
      <c r="AO308" s="534"/>
      <c r="AP308" s="534"/>
      <c r="AQ308" s="534"/>
      <c r="AR308" s="534"/>
      <c r="AS308" s="178"/>
      <c r="AT308" s="178"/>
      <c r="AU308" s="178"/>
      <c r="AV308" s="178"/>
      <c r="AW308" s="178"/>
      <c r="AX308" s="178"/>
      <c r="AY308" s="178"/>
      <c r="AZ308" s="178"/>
      <c r="BA308" s="178"/>
      <c r="BB308" s="178"/>
      <c r="BC308" s="178"/>
      <c r="BD308" s="178"/>
      <c r="BE308" s="178"/>
      <c r="BF308" s="178"/>
      <c r="BG308" s="178"/>
      <c r="BH308" s="178"/>
      <c r="BI308" s="178"/>
      <c r="BJ308" s="178"/>
    </row>
    <row r="309" spans="2:62" ht="99" customHeight="1" x14ac:dyDescent="0.2">
      <c r="B309" s="310"/>
      <c r="C309" s="311"/>
      <c r="D309" s="312"/>
      <c r="E309" s="313"/>
      <c r="F309" s="313"/>
      <c r="G309" s="304"/>
      <c r="H309" s="305"/>
      <c r="I309" s="306"/>
      <c r="J309" s="307"/>
      <c r="K309" s="308"/>
      <c r="L309" s="307">
        <f>IF(NOT(ISERROR(MATCH(K309,_xlfn.ANCHORARRAY(G556),0))),J558&amp;"Por favor no seleccionar los criterios de impacto",K309)</f>
        <v>0</v>
      </c>
      <c r="M309" s="306"/>
      <c r="N309" s="307"/>
      <c r="O309" s="309"/>
      <c r="P309" s="168">
        <v>2</v>
      </c>
      <c r="Q309" s="123" t="s">
        <v>628</v>
      </c>
      <c r="R309" s="169" t="str">
        <f>IF(OR(S309="Preventivo",S309="Detectivo"),"Probabilidad",IF(S309="Correctivo","Impacto",""))</f>
        <v>Probabilidad</v>
      </c>
      <c r="S309" s="170" t="s">
        <v>133</v>
      </c>
      <c r="T309" s="170" t="s">
        <v>113</v>
      </c>
      <c r="U309" s="171" t="str">
        <f t="shared" ref="U309" si="456">IF(AND(S309="Preventivo",T309="Automático"),"50%",IF(AND(S309="Preventivo",T309="Manual"),"40%",IF(AND(S309="Detectivo",T309="Automático"),"40%",IF(AND(S309="Detectivo",T309="Manual"),"30%",IF(AND(S309="Correctivo",T309="Automático"),"35%",IF(AND(S309="Correctivo",T309="Manual"),"25%",""))))))</f>
        <v>30%</v>
      </c>
      <c r="V309" s="170" t="s">
        <v>114</v>
      </c>
      <c r="W309" s="170" t="s">
        <v>115</v>
      </c>
      <c r="X309" s="170" t="s">
        <v>134</v>
      </c>
      <c r="Y309" s="172">
        <f>IFERROR(IF(AND(R308="Probabilidad",R309="Probabilidad"),(AA308-(+AA308*U309)),IF(R309="Probabilidad",(J308-(+J308*U309)),IF(R309="Impacto",AA308,""))),"")</f>
        <v>8.3999999999999991E-2</v>
      </c>
      <c r="Z309" s="173" t="str">
        <f t="shared" ref="Z309" si="457">IFERROR(IF(Y309="","",IF(Y309&lt;=0.2,"Rara vez",IF(Y309&lt;=0.4,"Improbable",IF(Y309&lt;=0.6,"Posible",IF(Y309&lt;=0.8,"Probable","Casi Seguro"))))),"")</f>
        <v>Rara vez</v>
      </c>
      <c r="AA309" s="171">
        <f t="shared" ref="AA309" si="458">+Y309</f>
        <v>8.3999999999999991E-2</v>
      </c>
      <c r="AB309" s="173" t="str">
        <f t="shared" ref="AB309" si="459">IFERROR(IF(AC309="","",IF(AC309&lt;=0.6,"Moderado",IF(AC309&lt;=0.8,"Mayor","Catastrófico"))),"")</f>
        <v>Catastrófico</v>
      </c>
      <c r="AC309" s="171">
        <f>IFERROR(IF(AND(R308="Impacto",R309="Impacto"),(AC308-(+AC308*U309)),IF(R309="Impacto",(N308-(+N308*U309)),IF(R309="Probabilidad",AC308,""))),"")</f>
        <v>1</v>
      </c>
      <c r="AD309" s="174" t="str">
        <f t="shared" si="445"/>
        <v>Extremo</v>
      </c>
      <c r="AE309" s="170" t="s">
        <v>120</v>
      </c>
      <c r="AF309" s="132"/>
      <c r="AG309" s="194"/>
      <c r="AH309" s="195"/>
      <c r="AI309" s="176"/>
      <c r="AJ309" s="181"/>
      <c r="AK309" s="522"/>
      <c r="AL309" s="535"/>
      <c r="AM309" s="535"/>
      <c r="AN309" s="535"/>
      <c r="AO309" s="535"/>
      <c r="AP309" s="535"/>
      <c r="AQ309" s="535"/>
      <c r="AR309" s="535"/>
      <c r="AS309" s="158"/>
      <c r="AT309" s="158"/>
      <c r="AU309" s="158"/>
      <c r="AV309" s="158"/>
      <c r="AW309" s="158"/>
      <c r="AX309" s="158"/>
      <c r="AY309" s="158"/>
      <c r="AZ309" s="158"/>
      <c r="BA309" s="158"/>
      <c r="BB309" s="158"/>
      <c r="BC309" s="158"/>
      <c r="BD309" s="158"/>
      <c r="BE309" s="158"/>
      <c r="BF309" s="158"/>
      <c r="BG309" s="158"/>
      <c r="BH309" s="158"/>
      <c r="BI309" s="158"/>
      <c r="BJ309" s="158"/>
    </row>
    <row r="310" spans="2:62" x14ac:dyDescent="0.2">
      <c r="B310" s="310"/>
      <c r="C310" s="311"/>
      <c r="D310" s="312"/>
      <c r="E310" s="313"/>
      <c r="F310" s="313"/>
      <c r="G310" s="304"/>
      <c r="H310" s="305"/>
      <c r="I310" s="306"/>
      <c r="J310" s="307"/>
      <c r="K310" s="308"/>
      <c r="L310" s="307">
        <f>IF(NOT(ISERROR(MATCH(K310,_xlfn.ANCHORARRAY(G557),0))),J559&amp;"Por favor no seleccionar los criterios de impacto",K310)</f>
        <v>0</v>
      </c>
      <c r="M310" s="306"/>
      <c r="N310" s="307"/>
      <c r="O310" s="309"/>
      <c r="P310" s="168">
        <v>3</v>
      </c>
      <c r="Q310" s="146"/>
      <c r="R310" s="169"/>
      <c r="S310" s="182"/>
      <c r="T310" s="170"/>
      <c r="U310" s="171"/>
      <c r="V310" s="170"/>
      <c r="W310" s="170"/>
      <c r="X310" s="170"/>
      <c r="Y310" s="172"/>
      <c r="Z310" s="173"/>
      <c r="AA310" s="171"/>
      <c r="AB310" s="173"/>
      <c r="AC310" s="171"/>
      <c r="AD310" s="174"/>
      <c r="AE310" s="196"/>
      <c r="AF310" s="136"/>
      <c r="AG310" s="203"/>
      <c r="AH310" s="202"/>
      <c r="AI310" s="187"/>
      <c r="AJ310" s="188"/>
      <c r="AK310" s="523"/>
      <c r="AL310" s="535"/>
      <c r="AM310" s="535"/>
      <c r="AN310" s="535"/>
      <c r="AO310" s="535"/>
      <c r="AP310" s="535"/>
      <c r="AQ310" s="535"/>
      <c r="AR310" s="535"/>
      <c r="AS310" s="158"/>
      <c r="AT310" s="158"/>
      <c r="AU310" s="158"/>
      <c r="AV310" s="158"/>
      <c r="AW310" s="158"/>
      <c r="AX310" s="158"/>
      <c r="AY310" s="158"/>
      <c r="AZ310" s="158"/>
      <c r="BA310" s="158"/>
      <c r="BB310" s="158"/>
      <c r="BC310" s="158"/>
      <c r="BD310" s="158"/>
      <c r="BE310" s="158"/>
      <c r="BF310" s="158"/>
      <c r="BG310" s="158"/>
      <c r="BH310" s="158"/>
      <c r="BI310" s="158"/>
      <c r="BJ310" s="158"/>
    </row>
    <row r="311" spans="2:62" s="163" customFormat="1" ht="76.5" x14ac:dyDescent="0.25">
      <c r="B311" s="310" t="s">
        <v>629</v>
      </c>
      <c r="C311" s="311" t="s">
        <v>220</v>
      </c>
      <c r="D311" s="312" t="s">
        <v>487</v>
      </c>
      <c r="E311" s="313" t="s">
        <v>127</v>
      </c>
      <c r="F311" s="313" t="s">
        <v>630</v>
      </c>
      <c r="G311" s="304" t="s">
        <v>631</v>
      </c>
      <c r="H311" s="305" t="s">
        <v>109</v>
      </c>
      <c r="I311" s="306" t="str">
        <f>IF(H311&lt;=0,"",IF(H311="No se ha presentado en los últimos 5 años","Rara vez",IF(H311="Al menos 1 vez en los últimos 5 años","Improbable",IF(H311="Al menos 1 vez en los últimos 2 años","Posible",IF(H311="Al menos 1 vez en el último año","Probable",IF(H311="Más de 1 vez al año","Casi Seguro"))))))</f>
        <v>Rara vez</v>
      </c>
      <c r="J311" s="307">
        <f>IF(I311="","",IF(I311="Rara vez",0.2,IF(I311="Improbable",0.4,IF(I311="Posible",0.6,IF(I311="Probable",0.8,IF(I311="Casi Seguro",1,))))))</f>
        <v>0.2</v>
      </c>
      <c r="K311" s="308" t="s">
        <v>131</v>
      </c>
      <c r="L311" s="307" t="str">
        <f>IF(NOT(ISERROR(MATCH(K311,'Tabla Impacto'!$B$220:$B$222,0))),'Tabla Impacto'!$F$222&amp;"Por favor no seleccionar los criterios de impacto(Criterios para calificar el impacto)",K311)</f>
        <v xml:space="preserve">Responder afirmativamente de DOCE a DIECINUEVE </v>
      </c>
      <c r="M311" s="306" t="str">
        <f>IF(OR(L311='Tabla Impacto'!$C$5),"Moderado",IF(OR(L311='Tabla Impacto'!$C$6),"Mayor",IF(OR(L311='Tabla Impacto'!$C$7),"Catastrófico","")))</f>
        <v>Catastrófico</v>
      </c>
      <c r="N311" s="307">
        <f>IF(M311="","",IF(M311="Leve",0.2,IF(M311="Menor",0.4,IF(M311="Moderado",0.6,IF(M311="Mayor",0.8,IF(M311="Catastrófico",1,))))))</f>
        <v>1</v>
      </c>
      <c r="O311" s="309" t="str">
        <f>IF(OR(AND(I311="Rara vez",M311="Leve"),AND(I311="Rara vez",M311="Menor"),AND(I311="Improbable",M311="Leve")),"Bajo",IF(OR(AND(I311="Rara vez",M311="Moderado"),AND(I311="Improbable",M311="Menor"),AND(I311="Improbable",M311="Moderado"),AND(I311="Posible",M311="Leve"),AND(I311="Posible",M311="Menor"),AND(I311="Posible",M311="Moderado"),AND(I311="Probable",M311="Leve"),AND(I311="Probable",M311="Menor")),"Moderado",IF(OR(AND(I311="Rara vez",M311="Mayor"),AND(I311="Improbable",M311="Mayor"),AND(I311="Posible",M311="Mayor"),AND(I311="Probable",M311="Moderado"),AND(I311="Probable",M311="Mayor"),AND(I311="Casi Seguro",M311="Leve"),AND(I311="Casi Seguro",M311="Menor"),AND(I311="Casi Seguro",M311="Moderado"),AND(I311="Casi Seguro",M311="Mayor")),"Alto",IF(OR(AND(I311="Rara vez",M311="Catastrófico"),AND(I311="Improbable",M311="Catastrófico"),AND(I311="Posible",M311="Catastrófico"),AND(I311="Probable",M311="Catastrófico"),AND(I311="Casi Seguro",M311="Catastrófico")),"Extremo",""))))</f>
        <v>Extremo</v>
      </c>
      <c r="P311" s="168">
        <v>1</v>
      </c>
      <c r="Q311" s="152" t="s">
        <v>632</v>
      </c>
      <c r="R311" s="169" t="str">
        <f>IF(OR(S311="Preventivo",S311="Detectivo"),"Probabilidad",IF(S311="Correctivo","Impacto",""))</f>
        <v>Probabilidad</v>
      </c>
      <c r="S311" s="170" t="s">
        <v>112</v>
      </c>
      <c r="T311" s="170" t="s">
        <v>113</v>
      </c>
      <c r="U311" s="171" t="str">
        <f>IF(AND(S311="Preventivo",T311="Automático"),"50%",IF(AND(S311="Preventivo",T311="Manual"),"40%",IF(AND(S311="Detectivo",T311="Automático"),"40%",IF(AND(S311="Detectivo",T311="Manual"),"30%",IF(AND(S311="Correctivo",T311="Automático"),"35%",IF(AND(S311="Correctivo",T311="Manual"),"25%",""))))))</f>
        <v>40%</v>
      </c>
      <c r="V311" s="170" t="s">
        <v>119</v>
      </c>
      <c r="W311" s="170" t="s">
        <v>115</v>
      </c>
      <c r="X311" s="170" t="s">
        <v>134</v>
      </c>
      <c r="Y311" s="172">
        <f>IFERROR(IF(R311="Probabilidad",(J311-(+J311*U311)),IF(R311="Impacto",J311,"")),"")</f>
        <v>0.12</v>
      </c>
      <c r="Z311" s="173" t="str">
        <f>IFERROR(IF(Y311="","",IF(Y311&lt;=0.2,"Rara vez",IF(Y311&lt;=0.4,"Improbable",IF(Y311&lt;=0.6,"Posible",IF(Y311&lt;=0.8,"Probable","Casi Seguro"))))),"")</f>
        <v>Rara vez</v>
      </c>
      <c r="AA311" s="171">
        <f>+Y311</f>
        <v>0.12</v>
      </c>
      <c r="AB311" s="173" t="str">
        <f>IFERROR(IF(AC311="","",IF(AC311&lt;=0.6,"Moderado",IF(AC311&lt;=0.8,"Mayor","Catastrófico"))),"")</f>
        <v>Catastrófico</v>
      </c>
      <c r="AC311" s="171">
        <f>IFERROR(IF(R311="Impacto",(N311-(+N311*U311)),IF(R311="Probabilidad",N311,"")),"")</f>
        <v>1</v>
      </c>
      <c r="AD311" s="174" t="str">
        <f t="shared" ref="AD311:AD313" si="460">IFERROR(IF(OR(AND(Z311="Rara vez",AB311="Leve"),AND(Z311="Rara vez",AB311="Menor"),AND(Z311="Improbable",AB311="Leve")),"Bajo",IF(OR(AND(Z311="Rara vez",AB311="Moderado"),AND(Z311="Improbable",AB311="Menor"),AND(Z311="Improbable",AB311="Moderado"),AND(Z311="Posible",AB311="Leve"),AND(Z311="Posible",AB311="Menor"),AND(Z311="Posible",AB311="Moderado"),AND(Z311="Probable",AB311="Leve"),AND(Z311="Probable",AB311="Menor")),"Moderado",IF(OR(AND(Z311="Rara vez",AB311="Mayor"),AND(Z311="Improbable",AB311="Mayor"),AND(Z311="Posible",AB311="Mayor"),AND(Z311="Probable",AB311="Moderado"),AND(Z311="Probable",AB311="Mayor"),AND(Z311="Casi Seguro",AB311="Leve"),AND(Z311="Casi Seguro",AB311="Menor"),AND(Z311="Casi Seguro",AB311="Moderado"),AND(Z311="Casi Seguro",AB311="Mayor")),"Alto",IF(OR(AND(Z311="Rara vez",AB311="Catastrófico"),AND(Z311="Improbable",AB311="Catastrófico"),AND(Z311="Posible",AB311="Catastrófico"),AND(Z311="Probable",AB311="Catastrófico"),AND(Z311="Casi Seguro",AB311="Catastrófico")),"Extremo","")))),"")</f>
        <v>Extremo</v>
      </c>
      <c r="AE311" s="170"/>
      <c r="AF311" s="123"/>
      <c r="AG311" s="123"/>
      <c r="AH311" s="175"/>
      <c r="AI311" s="176"/>
      <c r="AJ311" s="177"/>
      <c r="AK311" s="522"/>
      <c r="AL311" s="534"/>
      <c r="AM311" s="534"/>
      <c r="AN311" s="534"/>
      <c r="AO311" s="534"/>
      <c r="AP311" s="534"/>
      <c r="AQ311" s="534"/>
      <c r="AR311" s="534"/>
      <c r="AS311" s="178"/>
      <c r="AT311" s="178"/>
      <c r="AU311" s="178"/>
      <c r="AV311" s="178"/>
      <c r="AW311" s="178"/>
      <c r="AX311" s="178"/>
      <c r="AY311" s="178"/>
      <c r="AZ311" s="178"/>
      <c r="BA311" s="178"/>
      <c r="BB311" s="178"/>
      <c r="BC311" s="178"/>
      <c r="BD311" s="178"/>
      <c r="BE311" s="178"/>
      <c r="BF311" s="178"/>
      <c r="BG311" s="178"/>
      <c r="BH311" s="178"/>
      <c r="BI311" s="178"/>
      <c r="BJ311" s="178"/>
    </row>
    <row r="312" spans="2:62" ht="85.5" customHeight="1" x14ac:dyDescent="0.2">
      <c r="B312" s="310"/>
      <c r="C312" s="311"/>
      <c r="D312" s="312"/>
      <c r="E312" s="313"/>
      <c r="F312" s="313"/>
      <c r="G312" s="304"/>
      <c r="H312" s="305"/>
      <c r="I312" s="306"/>
      <c r="J312" s="307"/>
      <c r="K312" s="308"/>
      <c r="L312" s="307">
        <f>IF(NOT(ISERROR(MATCH(K312,_xlfn.ANCHORARRAY(G556),0))),J558&amp;"Por favor no seleccionar los criterios de impacto",K312)</f>
        <v>0</v>
      </c>
      <c r="M312" s="306"/>
      <c r="N312" s="307"/>
      <c r="O312" s="309"/>
      <c r="P312" s="168">
        <v>2</v>
      </c>
      <c r="Q312" s="152" t="s">
        <v>633</v>
      </c>
      <c r="R312" s="169" t="str">
        <f>IF(OR(S312="Preventivo",S312="Detectivo"),"Probabilidad",IF(S312="Correctivo","Impacto",""))</f>
        <v>Probabilidad</v>
      </c>
      <c r="S312" s="170" t="s">
        <v>133</v>
      </c>
      <c r="T312" s="170" t="s">
        <v>113</v>
      </c>
      <c r="U312" s="171" t="str">
        <f t="shared" ref="U312:U313" si="461">IF(AND(S312="Preventivo",T312="Automático"),"50%",IF(AND(S312="Preventivo",T312="Manual"),"40%",IF(AND(S312="Detectivo",T312="Automático"),"40%",IF(AND(S312="Detectivo",T312="Manual"),"30%",IF(AND(S312="Correctivo",T312="Automático"),"35%",IF(AND(S312="Correctivo",T312="Manual"),"25%",""))))))</f>
        <v>30%</v>
      </c>
      <c r="V312" s="170" t="s">
        <v>114</v>
      </c>
      <c r="W312" s="170" t="s">
        <v>115</v>
      </c>
      <c r="X312" s="170" t="s">
        <v>134</v>
      </c>
      <c r="Y312" s="172">
        <f>IFERROR(IF(AND(R311="Probabilidad",R312="Probabilidad"),(AA311-(+AA311*U312)),IF(R312="Probabilidad",(J311-(+J311*U312)),IF(R312="Impacto",AA311,""))),"")</f>
        <v>8.3999999999999991E-2</v>
      </c>
      <c r="Z312" s="173" t="str">
        <f t="shared" ref="Z312:Z313" si="462">IFERROR(IF(Y312="","",IF(Y312&lt;=0.2,"Rara vez",IF(Y312&lt;=0.4,"Improbable",IF(Y312&lt;=0.6,"Posible",IF(Y312&lt;=0.8,"Probable","Casi Seguro"))))),"")</f>
        <v>Rara vez</v>
      </c>
      <c r="AA312" s="171">
        <f t="shared" ref="AA312:AA313" si="463">+Y312</f>
        <v>8.3999999999999991E-2</v>
      </c>
      <c r="AB312" s="173" t="str">
        <f t="shared" ref="AB312:AB313" si="464">IFERROR(IF(AC312="","",IF(AC312&lt;=0.6,"Moderado",IF(AC312&lt;=0.8,"Mayor","Catastrófico"))),"")</f>
        <v>Catastrófico</v>
      </c>
      <c r="AC312" s="171">
        <f>IFERROR(IF(AND(R311="Impacto",R312="Impacto"),(AC311-(+AC311*U312)),IF(R312="Impacto",(N311-(+N311*U312)),IF(R312="Probabilidad",AC311,""))),"")</f>
        <v>1</v>
      </c>
      <c r="AD312" s="174" t="str">
        <f t="shared" si="460"/>
        <v>Extremo</v>
      </c>
      <c r="AE312" s="170"/>
      <c r="AF312" s="132"/>
      <c r="AG312" s="194"/>
      <c r="AH312" s="195"/>
      <c r="AI312" s="176"/>
      <c r="AJ312" s="181"/>
      <c r="AK312" s="522"/>
      <c r="AL312" s="535"/>
      <c r="AM312" s="535"/>
      <c r="AN312" s="535"/>
      <c r="AO312" s="535"/>
      <c r="AP312" s="535"/>
      <c r="AQ312" s="535"/>
      <c r="AR312" s="535"/>
      <c r="AS312" s="158"/>
      <c r="AT312" s="158"/>
      <c r="AU312" s="158"/>
      <c r="AV312" s="158"/>
      <c r="AW312" s="158"/>
      <c r="AX312" s="158"/>
      <c r="AY312" s="158"/>
      <c r="AZ312" s="158"/>
      <c r="BA312" s="158"/>
      <c r="BB312" s="158"/>
      <c r="BC312" s="158"/>
      <c r="BD312" s="158"/>
      <c r="BE312" s="158"/>
      <c r="BF312" s="158"/>
      <c r="BG312" s="158"/>
      <c r="BH312" s="158"/>
      <c r="BI312" s="158"/>
      <c r="BJ312" s="158"/>
    </row>
    <row r="313" spans="2:62" ht="76.5" x14ac:dyDescent="0.2">
      <c r="B313" s="310"/>
      <c r="C313" s="311"/>
      <c r="D313" s="312"/>
      <c r="E313" s="313"/>
      <c r="F313" s="313"/>
      <c r="G313" s="304"/>
      <c r="H313" s="305"/>
      <c r="I313" s="306"/>
      <c r="J313" s="307"/>
      <c r="K313" s="308"/>
      <c r="L313" s="307">
        <f>IF(NOT(ISERROR(MATCH(K313,_xlfn.ANCHORARRAY(G557),0))),J559&amp;"Por favor no seleccionar los criterios de impacto",K313)</f>
        <v>0</v>
      </c>
      <c r="M313" s="306"/>
      <c r="N313" s="307"/>
      <c r="O313" s="309"/>
      <c r="P313" s="168">
        <v>3</v>
      </c>
      <c r="Q313" s="152" t="s">
        <v>634</v>
      </c>
      <c r="R313" s="169" t="s">
        <v>136</v>
      </c>
      <c r="S313" s="182" t="s">
        <v>137</v>
      </c>
      <c r="T313" s="170" t="s">
        <v>113</v>
      </c>
      <c r="U313" s="171" t="str">
        <f t="shared" si="461"/>
        <v>25%</v>
      </c>
      <c r="V313" s="170" t="s">
        <v>119</v>
      </c>
      <c r="W313" s="170" t="s">
        <v>115</v>
      </c>
      <c r="X313" s="170" t="s">
        <v>134</v>
      </c>
      <c r="Y313" s="172">
        <f>IFERROR(IF(AND(R312="Probabilidad",R313="Probabilidad"),(AA312-(+AA312*U313)),IF(AND(R312="Impacto",R313="Probabilidad"),(AA311-(+AA311*U313)),IF(R313="Impacto",AA312,""))),"")</f>
        <v>8.3999999999999991E-2</v>
      </c>
      <c r="Z313" s="173" t="str">
        <f t="shared" si="462"/>
        <v>Rara vez</v>
      </c>
      <c r="AA313" s="171">
        <f t="shared" si="463"/>
        <v>8.3999999999999991E-2</v>
      </c>
      <c r="AB313" s="173" t="str">
        <f t="shared" si="464"/>
        <v>Mayor</v>
      </c>
      <c r="AC313" s="171">
        <f>IFERROR(IF(AND(R312="Impacto",R313="Impacto"),(AC312-(+AC312*U313)),IF(AND(R312="Probabilidad",R313="Impacto"),(AC311-(+AC311*U313)),IF(R313="Probabilidad",AC312,""))),"")</f>
        <v>0.75</v>
      </c>
      <c r="AD313" s="174" t="str">
        <f t="shared" si="460"/>
        <v>Alto</v>
      </c>
      <c r="AE313" s="196" t="s">
        <v>120</v>
      </c>
      <c r="AF313" s="136"/>
      <c r="AG313" s="203"/>
      <c r="AH313" s="202"/>
      <c r="AI313" s="187"/>
      <c r="AJ313" s="188"/>
      <c r="AK313" s="523"/>
      <c r="AL313" s="535"/>
      <c r="AM313" s="535"/>
      <c r="AN313" s="535"/>
      <c r="AO313" s="535"/>
      <c r="AP313" s="535"/>
      <c r="AQ313" s="535"/>
      <c r="AR313" s="535"/>
      <c r="AS313" s="158"/>
      <c r="AT313" s="158"/>
      <c r="AU313" s="158"/>
      <c r="AV313" s="158"/>
      <c r="AW313" s="158"/>
      <c r="AX313" s="158"/>
      <c r="AY313" s="158"/>
      <c r="AZ313" s="158"/>
      <c r="BA313" s="158"/>
      <c r="BB313" s="158"/>
      <c r="BC313" s="158"/>
      <c r="BD313" s="158"/>
      <c r="BE313" s="158"/>
      <c r="BF313" s="158"/>
      <c r="BG313" s="158"/>
      <c r="BH313" s="158"/>
      <c r="BI313" s="158"/>
      <c r="BJ313" s="158"/>
    </row>
    <row r="314" spans="2:62" ht="28.5" customHeight="1" x14ac:dyDescent="0.2">
      <c r="B314" s="225"/>
      <c r="C314" s="153"/>
      <c r="D314" s="154"/>
      <c r="E314" s="132"/>
      <c r="F314" s="132"/>
      <c r="G314" s="155"/>
      <c r="H314" s="156"/>
      <c r="I314" s="226"/>
      <c r="J314" s="227"/>
      <c r="K314" s="228"/>
      <c r="L314" s="227"/>
      <c r="M314" s="226"/>
      <c r="N314" s="227"/>
      <c r="O314" s="229"/>
      <c r="P314" s="230"/>
      <c r="Q314" s="135"/>
      <c r="R314" s="231"/>
      <c r="S314" s="232"/>
      <c r="T314" s="232"/>
      <c r="U314" s="233"/>
      <c r="V314" s="232"/>
      <c r="W314" s="232"/>
      <c r="X314" s="232"/>
      <c r="Y314" s="234"/>
      <c r="Z314" s="235"/>
      <c r="AA314" s="233"/>
      <c r="AB314" s="235"/>
      <c r="AC314" s="233"/>
      <c r="AD314" s="236"/>
      <c r="AE314" s="237"/>
      <c r="AF314" s="194"/>
      <c r="AG314" s="238"/>
      <c r="AH314" s="195"/>
      <c r="AI314" s="195"/>
      <c r="AJ314" s="239"/>
      <c r="AK314" s="240"/>
      <c r="AL314" s="158"/>
      <c r="AM314" s="158"/>
      <c r="AN314" s="158"/>
      <c r="AO314" s="158"/>
      <c r="AP314" s="158"/>
      <c r="AQ314" s="158"/>
      <c r="AR314" s="158"/>
      <c r="AS314" s="158"/>
      <c r="AT314" s="158"/>
      <c r="AU314" s="158"/>
      <c r="AV314" s="158"/>
      <c r="AW314" s="158"/>
      <c r="AX314" s="158"/>
      <c r="AY314" s="158"/>
      <c r="AZ314" s="158"/>
      <c r="BA314" s="158"/>
      <c r="BB314" s="158"/>
      <c r="BC314" s="158"/>
      <c r="BD314" s="158"/>
      <c r="BE314" s="158"/>
      <c r="BF314" s="158"/>
      <c r="BG314" s="158"/>
      <c r="BH314" s="158"/>
      <c r="BI314" s="158"/>
      <c r="BJ314" s="158"/>
    </row>
    <row r="315" spans="2:62" ht="49.5" customHeight="1" thickBot="1" x14ac:dyDescent="0.25">
      <c r="B315" s="327" t="s">
        <v>635</v>
      </c>
      <c r="C315" s="328"/>
      <c r="D315" s="328"/>
      <c r="E315" s="328"/>
      <c r="F315" s="328"/>
      <c r="G315" s="328"/>
      <c r="H315" s="328"/>
      <c r="I315" s="328"/>
      <c r="J315" s="328"/>
      <c r="K315" s="328"/>
      <c r="L315" s="328"/>
      <c r="M315" s="328"/>
      <c r="N315" s="328"/>
      <c r="O315" s="328"/>
      <c r="P315" s="328"/>
      <c r="Q315" s="328"/>
      <c r="R315" s="328"/>
      <c r="S315" s="328"/>
      <c r="T315" s="328"/>
      <c r="U315" s="328"/>
      <c r="V315" s="328"/>
      <c r="W315" s="328"/>
      <c r="X315" s="328"/>
      <c r="Y315" s="328"/>
      <c r="Z315" s="328"/>
      <c r="AA315" s="328"/>
      <c r="AB315" s="328"/>
      <c r="AC315" s="328"/>
      <c r="AD315" s="328"/>
      <c r="AE315" s="328"/>
      <c r="AF315" s="328"/>
      <c r="AG315" s="328"/>
      <c r="AH315" s="328"/>
      <c r="AI315" s="328"/>
      <c r="AJ315" s="328"/>
      <c r="AK315" s="329"/>
    </row>
    <row r="317" spans="2:62" x14ac:dyDescent="0.2">
      <c r="B317" s="241"/>
      <c r="C317" s="242"/>
      <c r="D317" s="157"/>
      <c r="E317" s="157"/>
      <c r="F317" s="157"/>
    </row>
  </sheetData>
  <dataConsolidate/>
  <mergeCells count="986">
    <mergeCell ref="AL5:AR5"/>
    <mergeCell ref="B4:AR4"/>
    <mergeCell ref="B2:AQ3"/>
    <mergeCell ref="AL6:AL7"/>
    <mergeCell ref="AM6:AM7"/>
    <mergeCell ref="AN6:AN7"/>
    <mergeCell ref="AO6:AO7"/>
    <mergeCell ref="AP6:AP7"/>
    <mergeCell ref="AQ6:AQ7"/>
    <mergeCell ref="AR6:AR7"/>
    <mergeCell ref="AR2:AR3"/>
    <mergeCell ref="K280:K282"/>
    <mergeCell ref="L280:L282"/>
    <mergeCell ref="M280:M282"/>
    <mergeCell ref="N280:N282"/>
    <mergeCell ref="O280:O282"/>
    <mergeCell ref="B280:B282"/>
    <mergeCell ref="C280:C282"/>
    <mergeCell ref="D280:D282"/>
    <mergeCell ref="E280:E282"/>
    <mergeCell ref="F280:F282"/>
    <mergeCell ref="G280:G282"/>
    <mergeCell ref="H280:H282"/>
    <mergeCell ref="I280:I282"/>
    <mergeCell ref="J280:J282"/>
    <mergeCell ref="K283:K285"/>
    <mergeCell ref="L283:L285"/>
    <mergeCell ref="M283:M285"/>
    <mergeCell ref="N283:N285"/>
    <mergeCell ref="O283:O285"/>
    <mergeCell ref="B277:B279"/>
    <mergeCell ref="C277:C279"/>
    <mergeCell ref="D277:D279"/>
    <mergeCell ref="E277:E279"/>
    <mergeCell ref="F277:F279"/>
    <mergeCell ref="B283:B285"/>
    <mergeCell ref="C283:C285"/>
    <mergeCell ref="D283:D285"/>
    <mergeCell ref="E283:E285"/>
    <mergeCell ref="F283:F285"/>
    <mergeCell ref="G283:G285"/>
    <mergeCell ref="H283:H285"/>
    <mergeCell ref="I283:I285"/>
    <mergeCell ref="J283:J285"/>
    <mergeCell ref="G277:G279"/>
    <mergeCell ref="H277:H279"/>
    <mergeCell ref="I277:I279"/>
    <mergeCell ref="J277:J279"/>
    <mergeCell ref="K277:K279"/>
    <mergeCell ref="K271:K273"/>
    <mergeCell ref="L271:L273"/>
    <mergeCell ref="M271:M273"/>
    <mergeCell ref="N271:N273"/>
    <mergeCell ref="O271:O273"/>
    <mergeCell ref="K274:K276"/>
    <mergeCell ref="L274:L276"/>
    <mergeCell ref="M274:M276"/>
    <mergeCell ref="N274:N276"/>
    <mergeCell ref="O274:O276"/>
    <mergeCell ref="L277:L279"/>
    <mergeCell ref="M277:M279"/>
    <mergeCell ref="N277:N279"/>
    <mergeCell ref="O277:O279"/>
    <mergeCell ref="B274:B276"/>
    <mergeCell ref="C274:C276"/>
    <mergeCell ref="D274:D276"/>
    <mergeCell ref="E274:E276"/>
    <mergeCell ref="F274:F276"/>
    <mergeCell ref="G274:G276"/>
    <mergeCell ref="H274:H276"/>
    <mergeCell ref="I274:I276"/>
    <mergeCell ref="J274:J276"/>
    <mergeCell ref="B271:B273"/>
    <mergeCell ref="C271:C273"/>
    <mergeCell ref="D271:D273"/>
    <mergeCell ref="E271:E273"/>
    <mergeCell ref="F271:F273"/>
    <mergeCell ref="G271:G273"/>
    <mergeCell ref="H271:H273"/>
    <mergeCell ref="I271:I273"/>
    <mergeCell ref="J271:J273"/>
    <mergeCell ref="L269:L270"/>
    <mergeCell ref="M269:M270"/>
    <mergeCell ref="N269:N270"/>
    <mergeCell ref="O269:O270"/>
    <mergeCell ref="B267:B268"/>
    <mergeCell ref="C267:C268"/>
    <mergeCell ref="D267:D268"/>
    <mergeCell ref="E267:E268"/>
    <mergeCell ref="F267:F268"/>
    <mergeCell ref="B269:B270"/>
    <mergeCell ref="C269:C270"/>
    <mergeCell ref="D269:D270"/>
    <mergeCell ref="E269:E270"/>
    <mergeCell ref="F269:F270"/>
    <mergeCell ref="G269:G270"/>
    <mergeCell ref="H269:H270"/>
    <mergeCell ref="I269:I270"/>
    <mergeCell ref="J269:J270"/>
    <mergeCell ref="B264:B266"/>
    <mergeCell ref="C264:C266"/>
    <mergeCell ref="D264:D266"/>
    <mergeCell ref="E264:E266"/>
    <mergeCell ref="F264:F266"/>
    <mergeCell ref="G264:G266"/>
    <mergeCell ref="H264:H266"/>
    <mergeCell ref="I264:I266"/>
    <mergeCell ref="J264:J266"/>
    <mergeCell ref="D14:D19"/>
    <mergeCell ref="E14:E19"/>
    <mergeCell ref="F14:F19"/>
    <mergeCell ref="G14:G19"/>
    <mergeCell ref="H14:H19"/>
    <mergeCell ref="I14:I19"/>
    <mergeCell ref="J14:J19"/>
    <mergeCell ref="K14:K19"/>
    <mergeCell ref="L14:L19"/>
    <mergeCell ref="D8:D13"/>
    <mergeCell ref="E8:E13"/>
    <mergeCell ref="F8:F13"/>
    <mergeCell ref="G8:G13"/>
    <mergeCell ref="H8:H13"/>
    <mergeCell ref="I8:I13"/>
    <mergeCell ref="J8:J13"/>
    <mergeCell ref="K8:K13"/>
    <mergeCell ref="L8:L13"/>
    <mergeCell ref="B78:B83"/>
    <mergeCell ref="D78:D83"/>
    <mergeCell ref="F78:F83"/>
    <mergeCell ref="G78:G83"/>
    <mergeCell ref="B72:B77"/>
    <mergeCell ref="E78:E83"/>
    <mergeCell ref="B20:B25"/>
    <mergeCell ref="C20:C25"/>
    <mergeCell ref="C78:C83"/>
    <mergeCell ref="E72:E77"/>
    <mergeCell ref="C6:C7"/>
    <mergeCell ref="C32:C35"/>
    <mergeCell ref="C36:C41"/>
    <mergeCell ref="C42:C47"/>
    <mergeCell ref="C48:C53"/>
    <mergeCell ref="C54:C59"/>
    <mergeCell ref="C60:C65"/>
    <mergeCell ref="C66:C71"/>
    <mergeCell ref="B6:B7"/>
    <mergeCell ref="B14:B19"/>
    <mergeCell ref="C14:C19"/>
    <mergeCell ref="B8:B13"/>
    <mergeCell ref="C8:C13"/>
    <mergeCell ref="G6:G7"/>
    <mergeCell ref="F6:F7"/>
    <mergeCell ref="D6:D7"/>
    <mergeCell ref="E36:E41"/>
    <mergeCell ref="E20:E25"/>
    <mergeCell ref="E32:E35"/>
    <mergeCell ref="B5:G5"/>
    <mergeCell ref="C72:C77"/>
    <mergeCell ref="B32:B35"/>
    <mergeCell ref="E6:E7"/>
    <mergeCell ref="D72:D77"/>
    <mergeCell ref="F72:F77"/>
    <mergeCell ref="G72:G77"/>
    <mergeCell ref="B66:B71"/>
    <mergeCell ref="D66:D71"/>
    <mergeCell ref="F66:F71"/>
    <mergeCell ref="G66:G71"/>
    <mergeCell ref="D60:D65"/>
    <mergeCell ref="F60:F65"/>
    <mergeCell ref="G60:G65"/>
    <mergeCell ref="E48:E53"/>
    <mergeCell ref="E54:E59"/>
    <mergeCell ref="E60:E65"/>
    <mergeCell ref="E66:E71"/>
    <mergeCell ref="I32:I35"/>
    <mergeCell ref="J32:J35"/>
    <mergeCell ref="F32:F35"/>
    <mergeCell ref="G32:G35"/>
    <mergeCell ref="J20:J25"/>
    <mergeCell ref="K20:K25"/>
    <mergeCell ref="L20:L25"/>
    <mergeCell ref="D20:D25"/>
    <mergeCell ref="F20:F25"/>
    <mergeCell ref="G20:G25"/>
    <mergeCell ref="D32:D35"/>
    <mergeCell ref="H32:H35"/>
    <mergeCell ref="H6:H7"/>
    <mergeCell ref="I6:I7"/>
    <mergeCell ref="J6:J7"/>
    <mergeCell ref="O6:O7"/>
    <mergeCell ref="K6:K7"/>
    <mergeCell ref="L6:L7"/>
    <mergeCell ref="R6:R7"/>
    <mergeCell ref="S6:X6"/>
    <mergeCell ref="M20:M25"/>
    <mergeCell ref="N20:N25"/>
    <mergeCell ref="M6:M7"/>
    <mergeCell ref="N6:N7"/>
    <mergeCell ref="H20:H25"/>
    <mergeCell ref="I20:I25"/>
    <mergeCell ref="M14:M19"/>
    <mergeCell ref="N14:N19"/>
    <mergeCell ref="O14:O19"/>
    <mergeCell ref="M8:M13"/>
    <mergeCell ref="N8:N13"/>
    <mergeCell ref="O8:O13"/>
    <mergeCell ref="AF6:AF7"/>
    <mergeCell ref="AK6:AK7"/>
    <mergeCell ref="AJ6:AJ7"/>
    <mergeCell ref="AI6:AI7"/>
    <mergeCell ref="AH6:AH7"/>
    <mergeCell ref="AG6:AG7"/>
    <mergeCell ref="K32:K35"/>
    <mergeCell ref="N36:N41"/>
    <mergeCell ref="O36:O41"/>
    <mergeCell ref="AE6:AE7"/>
    <mergeCell ref="P6:P7"/>
    <mergeCell ref="AD6:AD7"/>
    <mergeCell ref="AC6:AC7"/>
    <mergeCell ref="Y6:Y7"/>
    <mergeCell ref="Q6:Q7"/>
    <mergeCell ref="O20:O25"/>
    <mergeCell ref="O32:O35"/>
    <mergeCell ref="AB6:AB7"/>
    <mergeCell ref="Z6:Z7"/>
    <mergeCell ref="AA6:AA7"/>
    <mergeCell ref="K36:K41"/>
    <mergeCell ref="L32:L35"/>
    <mergeCell ref="M32:M35"/>
    <mergeCell ref="N32:N35"/>
    <mergeCell ref="O42:O47"/>
    <mergeCell ref="L36:L41"/>
    <mergeCell ref="M36:M41"/>
    <mergeCell ref="E42:E47"/>
    <mergeCell ref="B36:B41"/>
    <mergeCell ref="D36:D41"/>
    <mergeCell ref="F36:F41"/>
    <mergeCell ref="G36:G41"/>
    <mergeCell ref="H36:H41"/>
    <mergeCell ref="D42:D47"/>
    <mergeCell ref="F42:F47"/>
    <mergeCell ref="G42:G47"/>
    <mergeCell ref="H42:H47"/>
    <mergeCell ref="I42:I47"/>
    <mergeCell ref="J42:J47"/>
    <mergeCell ref="K42:K47"/>
    <mergeCell ref="L42:L47"/>
    <mergeCell ref="M42:M47"/>
    <mergeCell ref="I36:I41"/>
    <mergeCell ref="J36:J41"/>
    <mergeCell ref="B42:B47"/>
    <mergeCell ref="N42:N47"/>
    <mergeCell ref="O54:O59"/>
    <mergeCell ref="K60:K65"/>
    <mergeCell ref="L60:L65"/>
    <mergeCell ref="M60:M65"/>
    <mergeCell ref="B48:B53"/>
    <mergeCell ref="D48:D53"/>
    <mergeCell ref="B54:B59"/>
    <mergeCell ref="D54:D59"/>
    <mergeCell ref="F54:F59"/>
    <mergeCell ref="G54:G59"/>
    <mergeCell ref="F48:F53"/>
    <mergeCell ref="G48:G53"/>
    <mergeCell ref="K54:K59"/>
    <mergeCell ref="L54:L59"/>
    <mergeCell ref="M54:M59"/>
    <mergeCell ref="H48:H53"/>
    <mergeCell ref="I48:I53"/>
    <mergeCell ref="J48:J53"/>
    <mergeCell ref="K48:K53"/>
    <mergeCell ref="H54:H59"/>
    <mergeCell ref="I54:I59"/>
    <mergeCell ref="B60:B65"/>
    <mergeCell ref="N60:N65"/>
    <mergeCell ref="H5:O5"/>
    <mergeCell ref="P5:X5"/>
    <mergeCell ref="Y5:AE5"/>
    <mergeCell ref="AF5:AK5"/>
    <mergeCell ref="N72:N77"/>
    <mergeCell ref="O72:O77"/>
    <mergeCell ref="O60:O65"/>
    <mergeCell ref="H66:H71"/>
    <mergeCell ref="I66:I71"/>
    <mergeCell ref="J66:J71"/>
    <mergeCell ref="K66:K71"/>
    <mergeCell ref="H60:H65"/>
    <mergeCell ref="I60:I65"/>
    <mergeCell ref="J60:J65"/>
    <mergeCell ref="L66:L71"/>
    <mergeCell ref="M66:M71"/>
    <mergeCell ref="N66:N71"/>
    <mergeCell ref="O66:O71"/>
    <mergeCell ref="J54:J59"/>
    <mergeCell ref="L48:L53"/>
    <mergeCell ref="M48:M53"/>
    <mergeCell ref="N48:N53"/>
    <mergeCell ref="O48:O53"/>
    <mergeCell ref="N54:N59"/>
    <mergeCell ref="K78:K83"/>
    <mergeCell ref="L78:L83"/>
    <mergeCell ref="M78:M83"/>
    <mergeCell ref="N78:N83"/>
    <mergeCell ref="O78:O83"/>
    <mergeCell ref="K72:K77"/>
    <mergeCell ref="L72:L77"/>
    <mergeCell ref="M72:M77"/>
    <mergeCell ref="H72:H77"/>
    <mergeCell ref="I72:I77"/>
    <mergeCell ref="J72:J77"/>
    <mergeCell ref="M84:M88"/>
    <mergeCell ref="B315:AK315"/>
    <mergeCell ref="B26:B31"/>
    <mergeCell ref="C26:C31"/>
    <mergeCell ref="D26:D31"/>
    <mergeCell ref="E26:E31"/>
    <mergeCell ref="F26:F31"/>
    <mergeCell ref="G26:G31"/>
    <mergeCell ref="H26:H31"/>
    <mergeCell ref="I26:I31"/>
    <mergeCell ref="J26:J31"/>
    <mergeCell ref="K26:K31"/>
    <mergeCell ref="L26:L31"/>
    <mergeCell ref="M26:M31"/>
    <mergeCell ref="N26:N31"/>
    <mergeCell ref="O26:O31"/>
    <mergeCell ref="B84:B88"/>
    <mergeCell ref="C84:C88"/>
    <mergeCell ref="D84:D88"/>
    <mergeCell ref="H78:H83"/>
    <mergeCell ref="I78:I83"/>
    <mergeCell ref="J78:J83"/>
    <mergeCell ref="N84:N88"/>
    <mergeCell ref="O84:O88"/>
    <mergeCell ref="B89:B93"/>
    <mergeCell ref="C89:C93"/>
    <mergeCell ref="D89:D93"/>
    <mergeCell ref="E89:E93"/>
    <mergeCell ref="F89:F93"/>
    <mergeCell ref="G89:G93"/>
    <mergeCell ref="H89:H93"/>
    <mergeCell ref="I89:I93"/>
    <mergeCell ref="J89:J93"/>
    <mergeCell ref="K89:K93"/>
    <mergeCell ref="L89:L93"/>
    <mergeCell ref="M89:M93"/>
    <mergeCell ref="N89:N93"/>
    <mergeCell ref="O89:O93"/>
    <mergeCell ref="E84:E88"/>
    <mergeCell ref="F84:F88"/>
    <mergeCell ref="G84:G88"/>
    <mergeCell ref="H84:H88"/>
    <mergeCell ref="I84:I88"/>
    <mergeCell ref="J84:J88"/>
    <mergeCell ref="K84:K88"/>
    <mergeCell ref="L84:L88"/>
    <mergeCell ref="B94:B98"/>
    <mergeCell ref="C94:C98"/>
    <mergeCell ref="D94:D98"/>
    <mergeCell ref="E94:E98"/>
    <mergeCell ref="F94:F98"/>
    <mergeCell ref="G94:G98"/>
    <mergeCell ref="H94:H98"/>
    <mergeCell ref="I94:I98"/>
    <mergeCell ref="J94:J98"/>
    <mergeCell ref="B99:B103"/>
    <mergeCell ref="C99:C103"/>
    <mergeCell ref="D99:D103"/>
    <mergeCell ref="E99:E103"/>
    <mergeCell ref="F99:F103"/>
    <mergeCell ref="G99:G103"/>
    <mergeCell ref="H99:H103"/>
    <mergeCell ref="I99:I103"/>
    <mergeCell ref="J99:J103"/>
    <mergeCell ref="K104:K109"/>
    <mergeCell ref="L104:L109"/>
    <mergeCell ref="M104:M109"/>
    <mergeCell ref="N104:N109"/>
    <mergeCell ref="O104:O109"/>
    <mergeCell ref="K94:K98"/>
    <mergeCell ref="L94:L98"/>
    <mergeCell ref="M94:M98"/>
    <mergeCell ref="N94:N98"/>
    <mergeCell ref="O94:O98"/>
    <mergeCell ref="K99:K103"/>
    <mergeCell ref="L99:L103"/>
    <mergeCell ref="M99:M103"/>
    <mergeCell ref="N99:N103"/>
    <mergeCell ref="O99:O103"/>
    <mergeCell ref="B104:B109"/>
    <mergeCell ref="C104:C109"/>
    <mergeCell ref="D104:D109"/>
    <mergeCell ref="E104:E109"/>
    <mergeCell ref="F104:F109"/>
    <mergeCell ref="G104:G109"/>
    <mergeCell ref="H104:H109"/>
    <mergeCell ref="I104:I109"/>
    <mergeCell ref="J104:J109"/>
    <mergeCell ref="B110:B115"/>
    <mergeCell ref="C110:C115"/>
    <mergeCell ref="D110:D115"/>
    <mergeCell ref="E110:E115"/>
    <mergeCell ref="F110:F115"/>
    <mergeCell ref="G110:G115"/>
    <mergeCell ref="H110:H115"/>
    <mergeCell ref="I110:I115"/>
    <mergeCell ref="J110:J115"/>
    <mergeCell ref="L122:L127"/>
    <mergeCell ref="M122:M127"/>
    <mergeCell ref="N122:N127"/>
    <mergeCell ref="O122:O127"/>
    <mergeCell ref="B116:B121"/>
    <mergeCell ref="C116:C121"/>
    <mergeCell ref="D116:D121"/>
    <mergeCell ref="E116:E121"/>
    <mergeCell ref="F116:F121"/>
    <mergeCell ref="G116:G121"/>
    <mergeCell ref="H116:H121"/>
    <mergeCell ref="I116:I121"/>
    <mergeCell ref="J116:J121"/>
    <mergeCell ref="K110:K115"/>
    <mergeCell ref="L110:L115"/>
    <mergeCell ref="M110:M115"/>
    <mergeCell ref="N110:N115"/>
    <mergeCell ref="O110:O115"/>
    <mergeCell ref="K116:K121"/>
    <mergeCell ref="L116:L121"/>
    <mergeCell ref="M116:M121"/>
    <mergeCell ref="N116:N121"/>
    <mergeCell ref="O116:O121"/>
    <mergeCell ref="K128:K133"/>
    <mergeCell ref="L128:L133"/>
    <mergeCell ref="M128:M133"/>
    <mergeCell ref="N128:N133"/>
    <mergeCell ref="O128:O133"/>
    <mergeCell ref="B122:B127"/>
    <mergeCell ref="C122:C127"/>
    <mergeCell ref="D122:D127"/>
    <mergeCell ref="E122:E127"/>
    <mergeCell ref="F122:F127"/>
    <mergeCell ref="B128:B133"/>
    <mergeCell ref="C128:C133"/>
    <mergeCell ref="D128:D133"/>
    <mergeCell ref="E128:E133"/>
    <mergeCell ref="F128:F133"/>
    <mergeCell ref="G128:G133"/>
    <mergeCell ref="H128:H133"/>
    <mergeCell ref="I128:I133"/>
    <mergeCell ref="J128:J133"/>
    <mergeCell ref="G122:G127"/>
    <mergeCell ref="H122:H127"/>
    <mergeCell ref="I122:I127"/>
    <mergeCell ref="J122:J127"/>
    <mergeCell ref="K122:K127"/>
    <mergeCell ref="B134:B139"/>
    <mergeCell ref="C134:C139"/>
    <mergeCell ref="D134:D139"/>
    <mergeCell ref="E134:E139"/>
    <mergeCell ref="F134:F139"/>
    <mergeCell ref="G134:G139"/>
    <mergeCell ref="H134:H139"/>
    <mergeCell ref="I134:I139"/>
    <mergeCell ref="J134:J139"/>
    <mergeCell ref="L146:L151"/>
    <mergeCell ref="M146:M151"/>
    <mergeCell ref="N146:N151"/>
    <mergeCell ref="O146:O151"/>
    <mergeCell ref="B140:B145"/>
    <mergeCell ref="C140:C145"/>
    <mergeCell ref="D140:D145"/>
    <mergeCell ref="E140:E145"/>
    <mergeCell ref="F140:F145"/>
    <mergeCell ref="G140:G145"/>
    <mergeCell ref="H140:H145"/>
    <mergeCell ref="I140:I145"/>
    <mergeCell ref="J140:J145"/>
    <mergeCell ref="K134:K139"/>
    <mergeCell ref="L134:L139"/>
    <mergeCell ref="M134:M139"/>
    <mergeCell ref="N134:N139"/>
    <mergeCell ref="O134:O139"/>
    <mergeCell ref="K140:K145"/>
    <mergeCell ref="L140:L145"/>
    <mergeCell ref="M140:M145"/>
    <mergeCell ref="N140:N145"/>
    <mergeCell ref="O140:O145"/>
    <mergeCell ref="K152:K157"/>
    <mergeCell ref="L152:L157"/>
    <mergeCell ref="M152:M157"/>
    <mergeCell ref="N152:N157"/>
    <mergeCell ref="O152:O157"/>
    <mergeCell ref="B146:B151"/>
    <mergeCell ref="C146:C151"/>
    <mergeCell ref="D146:D151"/>
    <mergeCell ref="E146:E151"/>
    <mergeCell ref="F146:F151"/>
    <mergeCell ref="B152:B157"/>
    <mergeCell ref="C152:C157"/>
    <mergeCell ref="D152:D157"/>
    <mergeCell ref="E152:E157"/>
    <mergeCell ref="F152:F157"/>
    <mergeCell ref="G152:G157"/>
    <mergeCell ref="H152:H157"/>
    <mergeCell ref="I152:I157"/>
    <mergeCell ref="J152:J157"/>
    <mergeCell ref="G146:G151"/>
    <mergeCell ref="H146:H151"/>
    <mergeCell ref="I146:I151"/>
    <mergeCell ref="J146:J151"/>
    <mergeCell ref="K146:K151"/>
    <mergeCell ref="K158:K163"/>
    <mergeCell ref="L158:L163"/>
    <mergeCell ref="M158:M163"/>
    <mergeCell ref="N158:N163"/>
    <mergeCell ref="O158:O163"/>
    <mergeCell ref="B164:B174"/>
    <mergeCell ref="C164:C174"/>
    <mergeCell ref="D164:D174"/>
    <mergeCell ref="E164:E174"/>
    <mergeCell ref="F164:F174"/>
    <mergeCell ref="G164:G174"/>
    <mergeCell ref="H164:H174"/>
    <mergeCell ref="I164:I174"/>
    <mergeCell ref="J164:J174"/>
    <mergeCell ref="B158:B163"/>
    <mergeCell ref="C158:C163"/>
    <mergeCell ref="D158:D163"/>
    <mergeCell ref="E158:E163"/>
    <mergeCell ref="F158:F163"/>
    <mergeCell ref="G158:G163"/>
    <mergeCell ref="H158:H163"/>
    <mergeCell ref="I158:I163"/>
    <mergeCell ref="J158:J163"/>
    <mergeCell ref="K175:K180"/>
    <mergeCell ref="L175:L180"/>
    <mergeCell ref="M175:M180"/>
    <mergeCell ref="N175:N180"/>
    <mergeCell ref="O175:O180"/>
    <mergeCell ref="K164:K174"/>
    <mergeCell ref="L164:L174"/>
    <mergeCell ref="M164:M174"/>
    <mergeCell ref="N164:N174"/>
    <mergeCell ref="O164:O174"/>
    <mergeCell ref="B175:B180"/>
    <mergeCell ref="C175:C180"/>
    <mergeCell ref="D175:D180"/>
    <mergeCell ref="E175:E180"/>
    <mergeCell ref="F175:F180"/>
    <mergeCell ref="G175:G180"/>
    <mergeCell ref="H175:H180"/>
    <mergeCell ref="I175:I180"/>
    <mergeCell ref="J175:J180"/>
    <mergeCell ref="B181:B185"/>
    <mergeCell ref="C181:C185"/>
    <mergeCell ref="D181:D185"/>
    <mergeCell ref="E181:E185"/>
    <mergeCell ref="F181:F185"/>
    <mergeCell ref="G181:G185"/>
    <mergeCell ref="H181:H185"/>
    <mergeCell ref="I181:I185"/>
    <mergeCell ref="J181:J185"/>
    <mergeCell ref="B192:B197"/>
    <mergeCell ref="C192:C197"/>
    <mergeCell ref="D192:D197"/>
    <mergeCell ref="E192:E197"/>
    <mergeCell ref="F192:F197"/>
    <mergeCell ref="G192:G197"/>
    <mergeCell ref="H192:H197"/>
    <mergeCell ref="I192:I197"/>
    <mergeCell ref="J192:J197"/>
    <mergeCell ref="G198:G203"/>
    <mergeCell ref="H198:H203"/>
    <mergeCell ref="I198:I203"/>
    <mergeCell ref="J198:J203"/>
    <mergeCell ref="K181:K185"/>
    <mergeCell ref="L181:L185"/>
    <mergeCell ref="M181:M185"/>
    <mergeCell ref="N181:N185"/>
    <mergeCell ref="O181:O185"/>
    <mergeCell ref="K192:K197"/>
    <mergeCell ref="L192:L197"/>
    <mergeCell ref="M192:M197"/>
    <mergeCell ref="N192:N197"/>
    <mergeCell ref="O192:O197"/>
    <mergeCell ref="K198:K203"/>
    <mergeCell ref="L198:L203"/>
    <mergeCell ref="M198:M203"/>
    <mergeCell ref="N198:N203"/>
    <mergeCell ref="O198:O203"/>
    <mergeCell ref="K186:K191"/>
    <mergeCell ref="L186:L191"/>
    <mergeCell ref="M186:M191"/>
    <mergeCell ref="N186:N191"/>
    <mergeCell ref="O186:O191"/>
    <mergeCell ref="B186:B191"/>
    <mergeCell ref="C186:C191"/>
    <mergeCell ref="D186:D191"/>
    <mergeCell ref="E186:E191"/>
    <mergeCell ref="F186:F191"/>
    <mergeCell ref="G186:G191"/>
    <mergeCell ref="H186:H191"/>
    <mergeCell ref="I186:I191"/>
    <mergeCell ref="J186:J191"/>
    <mergeCell ref="B198:B203"/>
    <mergeCell ref="C198:C203"/>
    <mergeCell ref="D198:D203"/>
    <mergeCell ref="E198:E203"/>
    <mergeCell ref="F198:F203"/>
    <mergeCell ref="O204:O206"/>
    <mergeCell ref="B207:B212"/>
    <mergeCell ref="C207:C212"/>
    <mergeCell ref="D207:D212"/>
    <mergeCell ref="E207:E212"/>
    <mergeCell ref="F207:F212"/>
    <mergeCell ref="G207:G212"/>
    <mergeCell ref="H207:H212"/>
    <mergeCell ref="I207:I212"/>
    <mergeCell ref="J207:J212"/>
    <mergeCell ref="K207:K212"/>
    <mergeCell ref="L207:L212"/>
    <mergeCell ref="M207:M212"/>
    <mergeCell ref="N207:N212"/>
    <mergeCell ref="O207:O212"/>
    <mergeCell ref="B204:B206"/>
    <mergeCell ref="C204:C206"/>
    <mergeCell ref="D204:D206"/>
    <mergeCell ref="E204:E206"/>
    <mergeCell ref="F204:F206"/>
    <mergeCell ref="G204:G206"/>
    <mergeCell ref="H204:H206"/>
    <mergeCell ref="I204:I206"/>
    <mergeCell ref="G213:G218"/>
    <mergeCell ref="H213:H218"/>
    <mergeCell ref="I213:I218"/>
    <mergeCell ref="J213:J218"/>
    <mergeCell ref="J204:J206"/>
    <mergeCell ref="K204:K206"/>
    <mergeCell ref="L204:L206"/>
    <mergeCell ref="M204:M206"/>
    <mergeCell ref="N204:N206"/>
    <mergeCell ref="K213:K218"/>
    <mergeCell ref="L213:L218"/>
    <mergeCell ref="M213:M218"/>
    <mergeCell ref="N213:N218"/>
    <mergeCell ref="O213:O218"/>
    <mergeCell ref="K219:K221"/>
    <mergeCell ref="L219:L221"/>
    <mergeCell ref="M219:M221"/>
    <mergeCell ref="N219:N221"/>
    <mergeCell ref="O219:O221"/>
    <mergeCell ref="B213:B218"/>
    <mergeCell ref="C213:C218"/>
    <mergeCell ref="D213:D218"/>
    <mergeCell ref="E213:E218"/>
    <mergeCell ref="F213:F218"/>
    <mergeCell ref="B219:B221"/>
    <mergeCell ref="C219:C221"/>
    <mergeCell ref="D219:D221"/>
    <mergeCell ref="E219:E221"/>
    <mergeCell ref="F219:F221"/>
    <mergeCell ref="G219:G221"/>
    <mergeCell ref="H219:H221"/>
    <mergeCell ref="I219:I221"/>
    <mergeCell ref="J219:J221"/>
    <mergeCell ref="B222:B225"/>
    <mergeCell ref="C222:C225"/>
    <mergeCell ref="D222:D225"/>
    <mergeCell ref="E222:E225"/>
    <mergeCell ref="F222:F225"/>
    <mergeCell ref="G222:G225"/>
    <mergeCell ref="H222:H225"/>
    <mergeCell ref="I222:I225"/>
    <mergeCell ref="J222:J225"/>
    <mergeCell ref="L226:L228"/>
    <mergeCell ref="M226:M228"/>
    <mergeCell ref="N226:N228"/>
    <mergeCell ref="O226:O228"/>
    <mergeCell ref="K222:K225"/>
    <mergeCell ref="L222:L225"/>
    <mergeCell ref="M222:M225"/>
    <mergeCell ref="N222:N225"/>
    <mergeCell ref="O222:O225"/>
    <mergeCell ref="K229:K230"/>
    <mergeCell ref="L229:L230"/>
    <mergeCell ref="M229:M230"/>
    <mergeCell ref="N229:N230"/>
    <mergeCell ref="O229:O230"/>
    <mergeCell ref="B226:B228"/>
    <mergeCell ref="C226:C228"/>
    <mergeCell ref="D226:D228"/>
    <mergeCell ref="E226:E228"/>
    <mergeCell ref="F226:F228"/>
    <mergeCell ref="B229:B230"/>
    <mergeCell ref="C229:C230"/>
    <mergeCell ref="D229:D230"/>
    <mergeCell ref="E229:E230"/>
    <mergeCell ref="F229:F230"/>
    <mergeCell ref="G229:G230"/>
    <mergeCell ref="H229:H230"/>
    <mergeCell ref="I229:I230"/>
    <mergeCell ref="J229:J230"/>
    <mergeCell ref="G226:G228"/>
    <mergeCell ref="H226:H228"/>
    <mergeCell ref="I226:I228"/>
    <mergeCell ref="J226:J228"/>
    <mergeCell ref="K226:K228"/>
    <mergeCell ref="B231:B233"/>
    <mergeCell ref="C231:C233"/>
    <mergeCell ref="D231:D233"/>
    <mergeCell ref="E231:E233"/>
    <mergeCell ref="F231:F233"/>
    <mergeCell ref="G231:G233"/>
    <mergeCell ref="H231:H233"/>
    <mergeCell ref="I231:I233"/>
    <mergeCell ref="J231:J233"/>
    <mergeCell ref="L238:L240"/>
    <mergeCell ref="M238:M240"/>
    <mergeCell ref="N238:N240"/>
    <mergeCell ref="O238:O240"/>
    <mergeCell ref="B234:B237"/>
    <mergeCell ref="C234:C237"/>
    <mergeCell ref="D234:D237"/>
    <mergeCell ref="E234:E237"/>
    <mergeCell ref="F234:F237"/>
    <mergeCell ref="G234:G237"/>
    <mergeCell ref="H234:H237"/>
    <mergeCell ref="I234:I237"/>
    <mergeCell ref="J234:J237"/>
    <mergeCell ref="K231:K233"/>
    <mergeCell ref="L231:L233"/>
    <mergeCell ref="M231:M233"/>
    <mergeCell ref="N231:N233"/>
    <mergeCell ref="O231:O233"/>
    <mergeCell ref="K234:K237"/>
    <mergeCell ref="L234:L237"/>
    <mergeCell ref="M234:M237"/>
    <mergeCell ref="N234:N237"/>
    <mergeCell ref="O234:O237"/>
    <mergeCell ref="K241:K242"/>
    <mergeCell ref="L241:L242"/>
    <mergeCell ref="M241:M242"/>
    <mergeCell ref="N241:N242"/>
    <mergeCell ref="O241:O242"/>
    <mergeCell ref="B238:B240"/>
    <mergeCell ref="C238:C240"/>
    <mergeCell ref="D238:D240"/>
    <mergeCell ref="E238:E240"/>
    <mergeCell ref="F238:F240"/>
    <mergeCell ref="B241:B242"/>
    <mergeCell ref="C241:C242"/>
    <mergeCell ref="D241:D242"/>
    <mergeCell ref="E241:E242"/>
    <mergeCell ref="F241:F242"/>
    <mergeCell ref="G241:G242"/>
    <mergeCell ref="H241:H242"/>
    <mergeCell ref="I241:I242"/>
    <mergeCell ref="J241:J242"/>
    <mergeCell ref="G238:G240"/>
    <mergeCell ref="H238:H240"/>
    <mergeCell ref="I238:I240"/>
    <mergeCell ref="J238:J240"/>
    <mergeCell ref="K238:K240"/>
    <mergeCell ref="B243:B246"/>
    <mergeCell ref="C243:C246"/>
    <mergeCell ref="D243:D246"/>
    <mergeCell ref="E243:E246"/>
    <mergeCell ref="F243:F246"/>
    <mergeCell ref="G243:G246"/>
    <mergeCell ref="H243:H246"/>
    <mergeCell ref="I243:I246"/>
    <mergeCell ref="J243:J246"/>
    <mergeCell ref="B247:B249"/>
    <mergeCell ref="C247:C249"/>
    <mergeCell ref="D247:D249"/>
    <mergeCell ref="E247:E249"/>
    <mergeCell ref="F247:F249"/>
    <mergeCell ref="G247:G249"/>
    <mergeCell ref="H247:H249"/>
    <mergeCell ref="I247:I249"/>
    <mergeCell ref="J247:J249"/>
    <mergeCell ref="K251:K253"/>
    <mergeCell ref="L251:L253"/>
    <mergeCell ref="M251:M253"/>
    <mergeCell ref="N251:N253"/>
    <mergeCell ref="O251:O253"/>
    <mergeCell ref="K243:K246"/>
    <mergeCell ref="L243:L246"/>
    <mergeCell ref="M243:M246"/>
    <mergeCell ref="N243:N246"/>
    <mergeCell ref="O243:O246"/>
    <mergeCell ref="K247:K249"/>
    <mergeCell ref="L247:L249"/>
    <mergeCell ref="M247:M249"/>
    <mergeCell ref="N247:N249"/>
    <mergeCell ref="O247:O249"/>
    <mergeCell ref="G254:G256"/>
    <mergeCell ref="H254:H256"/>
    <mergeCell ref="I254:I256"/>
    <mergeCell ref="J254:J256"/>
    <mergeCell ref="B251:B253"/>
    <mergeCell ref="C251:C253"/>
    <mergeCell ref="D251:D253"/>
    <mergeCell ref="E251:E253"/>
    <mergeCell ref="F251:F253"/>
    <mergeCell ref="G251:G253"/>
    <mergeCell ref="H251:H253"/>
    <mergeCell ref="I251:I253"/>
    <mergeCell ref="J251:J253"/>
    <mergeCell ref="K254:K256"/>
    <mergeCell ref="L254:L256"/>
    <mergeCell ref="M254:M256"/>
    <mergeCell ref="N254:N256"/>
    <mergeCell ref="O254:O256"/>
    <mergeCell ref="B257:B259"/>
    <mergeCell ref="C257:C259"/>
    <mergeCell ref="D257:D259"/>
    <mergeCell ref="E257:E259"/>
    <mergeCell ref="F257:F259"/>
    <mergeCell ref="G257:G259"/>
    <mergeCell ref="H257:H259"/>
    <mergeCell ref="I257:I259"/>
    <mergeCell ref="J257:J259"/>
    <mergeCell ref="K257:K259"/>
    <mergeCell ref="L257:L259"/>
    <mergeCell ref="M257:M259"/>
    <mergeCell ref="N257:N259"/>
    <mergeCell ref="O257:O259"/>
    <mergeCell ref="B254:B256"/>
    <mergeCell ref="C254:C256"/>
    <mergeCell ref="D254:D256"/>
    <mergeCell ref="E254:E256"/>
    <mergeCell ref="F254:F256"/>
    <mergeCell ref="B260:B262"/>
    <mergeCell ref="C260:C262"/>
    <mergeCell ref="D260:D262"/>
    <mergeCell ref="E260:E262"/>
    <mergeCell ref="F260:F262"/>
    <mergeCell ref="G260:G262"/>
    <mergeCell ref="H260:H262"/>
    <mergeCell ref="I260:I262"/>
    <mergeCell ref="J260:J262"/>
    <mergeCell ref="G286:G288"/>
    <mergeCell ref="H286:H288"/>
    <mergeCell ref="I286:I288"/>
    <mergeCell ref="J286:J288"/>
    <mergeCell ref="K260:K262"/>
    <mergeCell ref="L260:L262"/>
    <mergeCell ref="M260:M262"/>
    <mergeCell ref="N260:N262"/>
    <mergeCell ref="O260:O262"/>
    <mergeCell ref="K264:K266"/>
    <mergeCell ref="L264:L266"/>
    <mergeCell ref="M264:M266"/>
    <mergeCell ref="N264:N266"/>
    <mergeCell ref="O264:O266"/>
    <mergeCell ref="G267:G268"/>
    <mergeCell ref="H267:H268"/>
    <mergeCell ref="I267:I268"/>
    <mergeCell ref="J267:J268"/>
    <mergeCell ref="K267:K268"/>
    <mergeCell ref="L267:L268"/>
    <mergeCell ref="M267:M268"/>
    <mergeCell ref="N267:N268"/>
    <mergeCell ref="O267:O268"/>
    <mergeCell ref="K269:K270"/>
    <mergeCell ref="K286:K288"/>
    <mergeCell ref="L286:L288"/>
    <mergeCell ref="M286:M288"/>
    <mergeCell ref="N286:N288"/>
    <mergeCell ref="O286:O288"/>
    <mergeCell ref="B289:B291"/>
    <mergeCell ref="C289:C291"/>
    <mergeCell ref="D289:D291"/>
    <mergeCell ref="E289:E291"/>
    <mergeCell ref="F289:F291"/>
    <mergeCell ref="G289:G291"/>
    <mergeCell ref="H289:H291"/>
    <mergeCell ref="I289:I291"/>
    <mergeCell ref="J289:J291"/>
    <mergeCell ref="K289:K291"/>
    <mergeCell ref="L289:L291"/>
    <mergeCell ref="M289:M291"/>
    <mergeCell ref="N289:N291"/>
    <mergeCell ref="O289:O291"/>
    <mergeCell ref="B286:B288"/>
    <mergeCell ref="C286:C288"/>
    <mergeCell ref="D286:D288"/>
    <mergeCell ref="E286:E288"/>
    <mergeCell ref="F286:F288"/>
    <mergeCell ref="B292:B294"/>
    <mergeCell ref="C292:C294"/>
    <mergeCell ref="D292:D294"/>
    <mergeCell ref="E292:E294"/>
    <mergeCell ref="F292:F294"/>
    <mergeCell ref="G292:G294"/>
    <mergeCell ref="H292:H294"/>
    <mergeCell ref="I292:I294"/>
    <mergeCell ref="J292:J294"/>
    <mergeCell ref="L298:L300"/>
    <mergeCell ref="M298:M300"/>
    <mergeCell ref="N298:N300"/>
    <mergeCell ref="O298:O300"/>
    <mergeCell ref="B295:B297"/>
    <mergeCell ref="C295:C297"/>
    <mergeCell ref="D295:D297"/>
    <mergeCell ref="E295:E297"/>
    <mergeCell ref="F295:F297"/>
    <mergeCell ref="G295:G297"/>
    <mergeCell ref="H295:H297"/>
    <mergeCell ref="I295:I297"/>
    <mergeCell ref="J295:J297"/>
    <mergeCell ref="K292:K294"/>
    <mergeCell ref="L292:L294"/>
    <mergeCell ref="M292:M294"/>
    <mergeCell ref="N292:N294"/>
    <mergeCell ref="O292:O294"/>
    <mergeCell ref="K295:K297"/>
    <mergeCell ref="L295:L297"/>
    <mergeCell ref="M295:M297"/>
    <mergeCell ref="N295:N297"/>
    <mergeCell ref="O295:O297"/>
    <mergeCell ref="K301:K303"/>
    <mergeCell ref="L301:L303"/>
    <mergeCell ref="M301:M303"/>
    <mergeCell ref="N301:N303"/>
    <mergeCell ref="O301:O303"/>
    <mergeCell ref="B298:B300"/>
    <mergeCell ref="C298:C300"/>
    <mergeCell ref="D298:D300"/>
    <mergeCell ref="E298:E300"/>
    <mergeCell ref="F298:F300"/>
    <mergeCell ref="B301:B303"/>
    <mergeCell ref="C301:C303"/>
    <mergeCell ref="D301:D303"/>
    <mergeCell ref="E301:E303"/>
    <mergeCell ref="F301:F303"/>
    <mergeCell ref="G301:G303"/>
    <mergeCell ref="H301:H303"/>
    <mergeCell ref="I301:I303"/>
    <mergeCell ref="J301:J303"/>
    <mergeCell ref="G298:G300"/>
    <mergeCell ref="H298:H300"/>
    <mergeCell ref="I298:I300"/>
    <mergeCell ref="J298:J300"/>
    <mergeCell ref="K298:K300"/>
    <mergeCell ref="B304:B307"/>
    <mergeCell ref="C304:C307"/>
    <mergeCell ref="D304:D307"/>
    <mergeCell ref="E304:E307"/>
    <mergeCell ref="F304:F307"/>
    <mergeCell ref="G304:G307"/>
    <mergeCell ref="H304:H307"/>
    <mergeCell ref="I304:I307"/>
    <mergeCell ref="J304:J307"/>
    <mergeCell ref="K304:K307"/>
    <mergeCell ref="L304:L307"/>
    <mergeCell ref="M304:M307"/>
    <mergeCell ref="N304:N307"/>
    <mergeCell ref="O304:O307"/>
    <mergeCell ref="B311:B313"/>
    <mergeCell ref="C311:C313"/>
    <mergeCell ref="D311:D313"/>
    <mergeCell ref="E311:E313"/>
    <mergeCell ref="F311:F313"/>
    <mergeCell ref="G311:G313"/>
    <mergeCell ref="H311:H313"/>
    <mergeCell ref="I311:I313"/>
    <mergeCell ref="J311:J313"/>
    <mergeCell ref="K311:K313"/>
    <mergeCell ref="L311:L313"/>
    <mergeCell ref="M311:M313"/>
    <mergeCell ref="N311:N313"/>
    <mergeCell ref="O311:O313"/>
    <mergeCell ref="B308:B310"/>
    <mergeCell ref="C308:C310"/>
    <mergeCell ref="D308:D310"/>
    <mergeCell ref="E308:E310"/>
    <mergeCell ref="F308:F310"/>
    <mergeCell ref="G308:G310"/>
    <mergeCell ref="H308:H310"/>
    <mergeCell ref="I308:I310"/>
    <mergeCell ref="J308:J310"/>
    <mergeCell ref="K308:K310"/>
    <mergeCell ref="L308:L310"/>
    <mergeCell ref="M308:M310"/>
    <mergeCell ref="N308:N310"/>
    <mergeCell ref="O308:O310"/>
  </mergeCells>
  <phoneticPr fontId="57" type="noConversion"/>
  <conditionalFormatting sqref="I8">
    <cfRule type="cellIs" dxfId="847" priority="924" operator="equal">
      <formula>"Muy Alta"</formula>
    </cfRule>
    <cfRule type="cellIs" dxfId="846" priority="925" operator="equal">
      <formula>"Alta"</formula>
    </cfRule>
    <cfRule type="cellIs" dxfId="845" priority="926" operator="equal">
      <formula>"Media"</formula>
    </cfRule>
    <cfRule type="cellIs" dxfId="844" priority="927" operator="equal">
      <formula>"Baja"</formula>
    </cfRule>
    <cfRule type="cellIs" dxfId="843" priority="928" operator="equal">
      <formula>"Muy Baja"</formula>
    </cfRule>
  </conditionalFormatting>
  <conditionalFormatting sqref="I8:I314">
    <cfRule type="cellIs" dxfId="842" priority="895" operator="equal">
      <formula>"Casi Seguro"</formula>
    </cfRule>
    <cfRule type="cellIs" dxfId="841" priority="896" operator="equal">
      <formula>"Probable"</formula>
    </cfRule>
    <cfRule type="cellIs" dxfId="840" priority="897" operator="equal">
      <formula>"Posible"</formula>
    </cfRule>
    <cfRule type="cellIs" dxfId="839" priority="898" operator="equal">
      <formula>"Improbable"</formula>
    </cfRule>
    <cfRule type="cellIs" dxfId="838" priority="899" operator="equal">
      <formula>"Rara vez"</formula>
    </cfRule>
  </conditionalFormatting>
  <conditionalFormatting sqref="I14">
    <cfRule type="cellIs" dxfId="837" priority="967" operator="equal">
      <formula>"Muy Alta"</formula>
    </cfRule>
    <cfRule type="cellIs" dxfId="836" priority="968" operator="equal">
      <formula>"Alta"</formula>
    </cfRule>
    <cfRule type="cellIs" dxfId="835" priority="969" operator="equal">
      <formula>"Media"</formula>
    </cfRule>
    <cfRule type="cellIs" dxfId="834" priority="970" operator="equal">
      <formula>"Baja"</formula>
    </cfRule>
    <cfRule type="cellIs" dxfId="833" priority="971" operator="equal">
      <formula>"Muy Baja"</formula>
    </cfRule>
  </conditionalFormatting>
  <conditionalFormatting sqref="I20 I32 I36 I42 I48 I54 I60 I66 I72 I78">
    <cfRule type="cellIs" dxfId="832" priority="1340" operator="equal">
      <formula>"Muy Alta"</formula>
    </cfRule>
    <cfRule type="cellIs" dxfId="831" priority="1341" operator="equal">
      <formula>"Alta"</formula>
    </cfRule>
    <cfRule type="cellIs" dxfId="830" priority="1342" operator="equal">
      <formula>"Media"</formula>
    </cfRule>
    <cfRule type="cellIs" dxfId="829" priority="1343" operator="equal">
      <formula>"Baja"</formula>
    </cfRule>
    <cfRule type="cellIs" dxfId="828" priority="1344" operator="equal">
      <formula>"Muy Baja"</formula>
    </cfRule>
  </conditionalFormatting>
  <conditionalFormatting sqref="I26">
    <cfRule type="cellIs" dxfId="827" priority="877" operator="equal">
      <formula>"Muy Alta"</formula>
    </cfRule>
    <cfRule type="cellIs" dxfId="826" priority="878" operator="equal">
      <formula>"Alta"</formula>
    </cfRule>
    <cfRule type="cellIs" dxfId="825" priority="879" operator="equal">
      <formula>"Media"</formula>
    </cfRule>
    <cfRule type="cellIs" dxfId="824" priority="880" operator="equal">
      <formula>"Baja"</formula>
    </cfRule>
    <cfRule type="cellIs" dxfId="823" priority="881" operator="equal">
      <formula>"Muy Baja"</formula>
    </cfRule>
  </conditionalFormatting>
  <conditionalFormatting sqref="I84">
    <cfRule type="cellIs" dxfId="822" priority="853" operator="equal">
      <formula>"Muy Alta"</formula>
    </cfRule>
    <cfRule type="cellIs" dxfId="821" priority="854" operator="equal">
      <formula>"Alta"</formula>
    </cfRule>
    <cfRule type="cellIs" dxfId="820" priority="855" operator="equal">
      <formula>"Media"</formula>
    </cfRule>
    <cfRule type="cellIs" dxfId="819" priority="856" operator="equal">
      <formula>"Baja"</formula>
    </cfRule>
    <cfRule type="cellIs" dxfId="818" priority="857" operator="equal">
      <formula>"Muy Baja"</formula>
    </cfRule>
  </conditionalFormatting>
  <conditionalFormatting sqref="I89">
    <cfRule type="cellIs" dxfId="817" priority="839" operator="equal">
      <formula>"Muy Alta"</formula>
    </cfRule>
    <cfRule type="cellIs" dxfId="816" priority="840" operator="equal">
      <formula>"Alta"</formula>
    </cfRule>
    <cfRule type="cellIs" dxfId="815" priority="841" operator="equal">
      <formula>"Media"</formula>
    </cfRule>
    <cfRule type="cellIs" dxfId="814" priority="842" operator="equal">
      <formula>"Baja"</formula>
    </cfRule>
    <cfRule type="cellIs" dxfId="813" priority="843" operator="equal">
      <formula>"Muy Baja"</formula>
    </cfRule>
  </conditionalFormatting>
  <conditionalFormatting sqref="I94">
    <cfRule type="cellIs" dxfId="812" priority="825" operator="equal">
      <formula>"Muy Alta"</formula>
    </cfRule>
    <cfRule type="cellIs" dxfId="811" priority="826" operator="equal">
      <formula>"Alta"</formula>
    </cfRule>
    <cfRule type="cellIs" dxfId="810" priority="827" operator="equal">
      <formula>"Media"</formula>
    </cfRule>
    <cfRule type="cellIs" dxfId="809" priority="828" operator="equal">
      <formula>"Baja"</formula>
    </cfRule>
    <cfRule type="cellIs" dxfId="808" priority="829" operator="equal">
      <formula>"Muy Baja"</formula>
    </cfRule>
  </conditionalFormatting>
  <conditionalFormatting sqref="I99">
    <cfRule type="cellIs" dxfId="807" priority="811" operator="equal">
      <formula>"Muy Alta"</formula>
    </cfRule>
    <cfRule type="cellIs" dxfId="806" priority="812" operator="equal">
      <formula>"Alta"</formula>
    </cfRule>
    <cfRule type="cellIs" dxfId="805" priority="813" operator="equal">
      <formula>"Media"</formula>
    </cfRule>
    <cfRule type="cellIs" dxfId="804" priority="814" operator="equal">
      <formula>"Baja"</formula>
    </cfRule>
    <cfRule type="cellIs" dxfId="803" priority="815" operator="equal">
      <formula>"Muy Baja"</formula>
    </cfRule>
  </conditionalFormatting>
  <conditionalFormatting sqref="I104">
    <cfRule type="cellIs" dxfId="802" priority="797" operator="equal">
      <formula>"Muy Alta"</formula>
    </cfRule>
    <cfRule type="cellIs" dxfId="801" priority="798" operator="equal">
      <formula>"Alta"</formula>
    </cfRule>
    <cfRule type="cellIs" dxfId="800" priority="799" operator="equal">
      <formula>"Media"</formula>
    </cfRule>
    <cfRule type="cellIs" dxfId="799" priority="800" operator="equal">
      <formula>"Baja"</formula>
    </cfRule>
    <cfRule type="cellIs" dxfId="798" priority="801" operator="equal">
      <formula>"Muy Baja"</formula>
    </cfRule>
  </conditionalFormatting>
  <conditionalFormatting sqref="I110">
    <cfRule type="cellIs" dxfId="797" priority="783" operator="equal">
      <formula>"Muy Alta"</formula>
    </cfRule>
    <cfRule type="cellIs" dxfId="796" priority="784" operator="equal">
      <formula>"Alta"</formula>
    </cfRule>
    <cfRule type="cellIs" dxfId="795" priority="785" operator="equal">
      <formula>"Media"</formula>
    </cfRule>
    <cfRule type="cellIs" dxfId="794" priority="786" operator="equal">
      <formula>"Baja"</formula>
    </cfRule>
    <cfRule type="cellIs" dxfId="793" priority="787" operator="equal">
      <formula>"Muy Baja"</formula>
    </cfRule>
  </conditionalFormatting>
  <conditionalFormatting sqref="I116">
    <cfRule type="cellIs" dxfId="792" priority="769" operator="equal">
      <formula>"Muy Alta"</formula>
    </cfRule>
    <cfRule type="cellIs" dxfId="791" priority="770" operator="equal">
      <formula>"Alta"</formula>
    </cfRule>
    <cfRule type="cellIs" dxfId="790" priority="771" operator="equal">
      <formula>"Media"</formula>
    </cfRule>
    <cfRule type="cellIs" dxfId="789" priority="772" operator="equal">
      <formula>"Baja"</formula>
    </cfRule>
    <cfRule type="cellIs" dxfId="788" priority="773" operator="equal">
      <formula>"Muy Baja"</formula>
    </cfRule>
  </conditionalFormatting>
  <conditionalFormatting sqref="I122">
    <cfRule type="cellIs" dxfId="787" priority="755" operator="equal">
      <formula>"Muy Alta"</formula>
    </cfRule>
    <cfRule type="cellIs" dxfId="786" priority="756" operator="equal">
      <formula>"Alta"</formula>
    </cfRule>
    <cfRule type="cellIs" dxfId="785" priority="757" operator="equal">
      <formula>"Media"</formula>
    </cfRule>
    <cfRule type="cellIs" dxfId="784" priority="758" operator="equal">
      <formula>"Baja"</formula>
    </cfRule>
    <cfRule type="cellIs" dxfId="783" priority="759" operator="equal">
      <formula>"Muy Baja"</formula>
    </cfRule>
  </conditionalFormatting>
  <conditionalFormatting sqref="I128">
    <cfRule type="cellIs" dxfId="782" priority="741" operator="equal">
      <formula>"Muy Alta"</formula>
    </cfRule>
    <cfRule type="cellIs" dxfId="781" priority="742" operator="equal">
      <formula>"Alta"</formula>
    </cfRule>
    <cfRule type="cellIs" dxfId="780" priority="743" operator="equal">
      <formula>"Media"</formula>
    </cfRule>
    <cfRule type="cellIs" dxfId="779" priority="744" operator="equal">
      <formula>"Baja"</formula>
    </cfRule>
    <cfRule type="cellIs" dxfId="778" priority="745" operator="equal">
      <formula>"Muy Baja"</formula>
    </cfRule>
  </conditionalFormatting>
  <conditionalFormatting sqref="I134">
    <cfRule type="cellIs" dxfId="777" priority="727" operator="equal">
      <formula>"Muy Alta"</formula>
    </cfRule>
    <cfRule type="cellIs" dxfId="776" priority="728" operator="equal">
      <formula>"Alta"</formula>
    </cfRule>
    <cfRule type="cellIs" dxfId="775" priority="729" operator="equal">
      <formula>"Media"</formula>
    </cfRule>
    <cfRule type="cellIs" dxfId="774" priority="730" operator="equal">
      <formula>"Baja"</formula>
    </cfRule>
    <cfRule type="cellIs" dxfId="773" priority="731" operator="equal">
      <formula>"Muy Baja"</formula>
    </cfRule>
  </conditionalFormatting>
  <conditionalFormatting sqref="I140">
    <cfRule type="cellIs" dxfId="772" priority="713" operator="equal">
      <formula>"Muy Alta"</formula>
    </cfRule>
    <cfRule type="cellIs" dxfId="771" priority="714" operator="equal">
      <formula>"Alta"</formula>
    </cfRule>
    <cfRule type="cellIs" dxfId="770" priority="715" operator="equal">
      <formula>"Media"</formula>
    </cfRule>
    <cfRule type="cellIs" dxfId="769" priority="716" operator="equal">
      <formula>"Baja"</formula>
    </cfRule>
    <cfRule type="cellIs" dxfId="768" priority="717" operator="equal">
      <formula>"Muy Baja"</formula>
    </cfRule>
  </conditionalFormatting>
  <conditionalFormatting sqref="I146">
    <cfRule type="cellIs" dxfId="767" priority="699" operator="equal">
      <formula>"Muy Alta"</formula>
    </cfRule>
    <cfRule type="cellIs" dxfId="766" priority="700" operator="equal">
      <formula>"Alta"</formula>
    </cfRule>
    <cfRule type="cellIs" dxfId="765" priority="701" operator="equal">
      <formula>"Media"</formula>
    </cfRule>
    <cfRule type="cellIs" dxfId="764" priority="702" operator="equal">
      <formula>"Baja"</formula>
    </cfRule>
    <cfRule type="cellIs" dxfId="763" priority="703" operator="equal">
      <formula>"Muy Baja"</formula>
    </cfRule>
  </conditionalFormatting>
  <conditionalFormatting sqref="I152">
    <cfRule type="cellIs" dxfId="762" priority="685" operator="equal">
      <formula>"Muy Alta"</formula>
    </cfRule>
    <cfRule type="cellIs" dxfId="761" priority="686" operator="equal">
      <formula>"Alta"</formula>
    </cfRule>
    <cfRule type="cellIs" dxfId="760" priority="687" operator="equal">
      <formula>"Media"</formula>
    </cfRule>
    <cfRule type="cellIs" dxfId="759" priority="688" operator="equal">
      <formula>"Baja"</formula>
    </cfRule>
    <cfRule type="cellIs" dxfId="758" priority="689" operator="equal">
      <formula>"Muy Baja"</formula>
    </cfRule>
  </conditionalFormatting>
  <conditionalFormatting sqref="I158">
    <cfRule type="cellIs" dxfId="757" priority="657" operator="equal">
      <formula>"Muy Alta"</formula>
    </cfRule>
    <cfRule type="cellIs" dxfId="756" priority="658" operator="equal">
      <formula>"Alta"</formula>
    </cfRule>
    <cfRule type="cellIs" dxfId="755" priority="659" operator="equal">
      <formula>"Media"</formula>
    </cfRule>
    <cfRule type="cellIs" dxfId="754" priority="660" operator="equal">
      <formula>"Baja"</formula>
    </cfRule>
    <cfRule type="cellIs" dxfId="753" priority="661" operator="equal">
      <formula>"Muy Baja"</formula>
    </cfRule>
  </conditionalFormatting>
  <conditionalFormatting sqref="I164">
    <cfRule type="cellIs" dxfId="752" priority="671" operator="equal">
      <formula>"Muy Alta"</formula>
    </cfRule>
    <cfRule type="cellIs" dxfId="751" priority="672" operator="equal">
      <formula>"Alta"</formula>
    </cfRule>
    <cfRule type="cellIs" dxfId="750" priority="673" operator="equal">
      <formula>"Media"</formula>
    </cfRule>
    <cfRule type="cellIs" dxfId="749" priority="674" operator="equal">
      <formula>"Baja"</formula>
    </cfRule>
    <cfRule type="cellIs" dxfId="748" priority="675" operator="equal">
      <formula>"Muy Baja"</formula>
    </cfRule>
  </conditionalFormatting>
  <conditionalFormatting sqref="I175">
    <cfRule type="cellIs" dxfId="747" priority="643" operator="equal">
      <formula>"Muy Alta"</formula>
    </cfRule>
    <cfRule type="cellIs" dxfId="746" priority="644" operator="equal">
      <formula>"Alta"</formula>
    </cfRule>
    <cfRule type="cellIs" dxfId="745" priority="645" operator="equal">
      <formula>"Media"</formula>
    </cfRule>
    <cfRule type="cellIs" dxfId="744" priority="646" operator="equal">
      <formula>"Baja"</formula>
    </cfRule>
    <cfRule type="cellIs" dxfId="743" priority="647" operator="equal">
      <formula>"Muy Baja"</formula>
    </cfRule>
  </conditionalFormatting>
  <conditionalFormatting sqref="I181">
    <cfRule type="cellIs" dxfId="742" priority="619" operator="equal">
      <formula>"Muy Alta"</formula>
    </cfRule>
    <cfRule type="cellIs" dxfId="741" priority="620" operator="equal">
      <formula>"Alta"</formula>
    </cfRule>
    <cfRule type="cellIs" dxfId="740" priority="621" operator="equal">
      <formula>"Media"</formula>
    </cfRule>
    <cfRule type="cellIs" dxfId="739" priority="622" operator="equal">
      <formula>"Baja"</formula>
    </cfRule>
    <cfRule type="cellIs" dxfId="738" priority="623" operator="equal">
      <formula>"Muy Baja"</formula>
    </cfRule>
  </conditionalFormatting>
  <conditionalFormatting sqref="I186">
    <cfRule type="cellIs" dxfId="737" priority="567" operator="equal">
      <formula>"Muy Alta"</formula>
    </cfRule>
    <cfRule type="cellIs" dxfId="736" priority="568" operator="equal">
      <formula>"Alta"</formula>
    </cfRule>
    <cfRule type="cellIs" dxfId="735" priority="569" operator="equal">
      <formula>"Media"</formula>
    </cfRule>
    <cfRule type="cellIs" dxfId="734" priority="570" operator="equal">
      <formula>"Baja"</formula>
    </cfRule>
    <cfRule type="cellIs" dxfId="733" priority="571" operator="equal">
      <formula>"Muy Baja"</formula>
    </cfRule>
  </conditionalFormatting>
  <conditionalFormatting sqref="I192">
    <cfRule type="cellIs" dxfId="732" priority="605" operator="equal">
      <formula>"Muy Alta"</formula>
    </cfRule>
    <cfRule type="cellIs" dxfId="731" priority="606" operator="equal">
      <formula>"Alta"</formula>
    </cfRule>
    <cfRule type="cellIs" dxfId="730" priority="607" operator="equal">
      <formula>"Media"</formula>
    </cfRule>
    <cfRule type="cellIs" dxfId="729" priority="608" operator="equal">
      <formula>"Baja"</formula>
    </cfRule>
    <cfRule type="cellIs" dxfId="728" priority="609" operator="equal">
      <formula>"Muy Baja"</formula>
    </cfRule>
  </conditionalFormatting>
  <conditionalFormatting sqref="I198">
    <cfRule type="cellIs" dxfId="727" priority="591" operator="equal">
      <formula>"Muy Alta"</formula>
    </cfRule>
    <cfRule type="cellIs" dxfId="726" priority="592" operator="equal">
      <formula>"Alta"</formula>
    </cfRule>
    <cfRule type="cellIs" dxfId="725" priority="593" operator="equal">
      <formula>"Media"</formula>
    </cfRule>
    <cfRule type="cellIs" dxfId="724" priority="594" operator="equal">
      <formula>"Baja"</formula>
    </cfRule>
    <cfRule type="cellIs" dxfId="723" priority="595" operator="equal">
      <formula>"Muy Baja"</formula>
    </cfRule>
  </conditionalFormatting>
  <conditionalFormatting sqref="I204">
    <cfRule type="cellIs" dxfId="722" priority="543" operator="equal">
      <formula>"Muy Alta"</formula>
    </cfRule>
    <cfRule type="cellIs" dxfId="721" priority="544" operator="equal">
      <formula>"Alta"</formula>
    </cfRule>
    <cfRule type="cellIs" dxfId="720" priority="545" operator="equal">
      <formula>"Media"</formula>
    </cfRule>
    <cfRule type="cellIs" dxfId="719" priority="546" operator="equal">
      <formula>"Baja"</formula>
    </cfRule>
    <cfRule type="cellIs" dxfId="718" priority="547" operator="equal">
      <formula>"Muy Baja"</formula>
    </cfRule>
  </conditionalFormatting>
  <conditionalFormatting sqref="I207">
    <cfRule type="cellIs" dxfId="717" priority="529" operator="equal">
      <formula>"Muy Alta"</formula>
    </cfRule>
    <cfRule type="cellIs" dxfId="716" priority="530" operator="equal">
      <formula>"Alta"</formula>
    </cfRule>
    <cfRule type="cellIs" dxfId="715" priority="531" operator="equal">
      <formula>"Media"</formula>
    </cfRule>
    <cfRule type="cellIs" dxfId="714" priority="532" operator="equal">
      <formula>"Baja"</formula>
    </cfRule>
    <cfRule type="cellIs" dxfId="713" priority="533" operator="equal">
      <formula>"Muy Baja"</formula>
    </cfRule>
  </conditionalFormatting>
  <conditionalFormatting sqref="I213">
    <cfRule type="cellIs" dxfId="712" priority="505" operator="equal">
      <formula>"Muy Alta"</formula>
    </cfRule>
    <cfRule type="cellIs" dxfId="711" priority="506" operator="equal">
      <formula>"Alta"</formula>
    </cfRule>
    <cfRule type="cellIs" dxfId="710" priority="507" operator="equal">
      <formula>"Media"</formula>
    </cfRule>
    <cfRule type="cellIs" dxfId="709" priority="508" operator="equal">
      <formula>"Baja"</formula>
    </cfRule>
    <cfRule type="cellIs" dxfId="708" priority="509" operator="equal">
      <formula>"Muy Baja"</formula>
    </cfRule>
  </conditionalFormatting>
  <conditionalFormatting sqref="I219">
    <cfRule type="cellIs" dxfId="707" priority="491" operator="equal">
      <formula>"Muy Alta"</formula>
    </cfRule>
    <cfRule type="cellIs" dxfId="706" priority="492" operator="equal">
      <formula>"Alta"</formula>
    </cfRule>
    <cfRule type="cellIs" dxfId="705" priority="493" operator="equal">
      <formula>"Media"</formula>
    </cfRule>
    <cfRule type="cellIs" dxfId="704" priority="494" operator="equal">
      <formula>"Baja"</formula>
    </cfRule>
    <cfRule type="cellIs" dxfId="703" priority="495" operator="equal">
      <formula>"Muy Baja"</formula>
    </cfRule>
  </conditionalFormatting>
  <conditionalFormatting sqref="I222">
    <cfRule type="cellIs" dxfId="702" priority="477" operator="equal">
      <formula>"Muy Alta"</formula>
    </cfRule>
    <cfRule type="cellIs" dxfId="701" priority="478" operator="equal">
      <formula>"Alta"</formula>
    </cfRule>
    <cfRule type="cellIs" dxfId="700" priority="479" operator="equal">
      <formula>"Media"</formula>
    </cfRule>
    <cfRule type="cellIs" dxfId="699" priority="480" operator="equal">
      <formula>"Baja"</formula>
    </cfRule>
    <cfRule type="cellIs" dxfId="698" priority="481" operator="equal">
      <formula>"Muy Baja"</formula>
    </cfRule>
  </conditionalFormatting>
  <conditionalFormatting sqref="I226">
    <cfRule type="cellIs" dxfId="697" priority="449" operator="equal">
      <formula>"Muy Alta"</formula>
    </cfRule>
    <cfRule type="cellIs" dxfId="696" priority="450" operator="equal">
      <formula>"Alta"</formula>
    </cfRule>
    <cfRule type="cellIs" dxfId="695" priority="451" operator="equal">
      <formula>"Media"</formula>
    </cfRule>
    <cfRule type="cellIs" dxfId="694" priority="452" operator="equal">
      <formula>"Baja"</formula>
    </cfRule>
    <cfRule type="cellIs" dxfId="693" priority="453" operator="equal">
      <formula>"Muy Baja"</formula>
    </cfRule>
  </conditionalFormatting>
  <conditionalFormatting sqref="I229">
    <cfRule type="cellIs" dxfId="692" priority="435" operator="equal">
      <formula>"Muy Alta"</formula>
    </cfRule>
    <cfRule type="cellIs" dxfId="691" priority="436" operator="equal">
      <formula>"Alta"</formula>
    </cfRule>
    <cfRule type="cellIs" dxfId="690" priority="437" operator="equal">
      <formula>"Media"</formula>
    </cfRule>
    <cfRule type="cellIs" dxfId="689" priority="438" operator="equal">
      <formula>"Baja"</formula>
    </cfRule>
    <cfRule type="cellIs" dxfId="688" priority="439" operator="equal">
      <formula>"Muy Baja"</formula>
    </cfRule>
  </conditionalFormatting>
  <conditionalFormatting sqref="I231">
    <cfRule type="cellIs" dxfId="687" priority="421" operator="equal">
      <formula>"Muy Alta"</formula>
    </cfRule>
    <cfRule type="cellIs" dxfId="686" priority="422" operator="equal">
      <formula>"Alta"</formula>
    </cfRule>
    <cfRule type="cellIs" dxfId="685" priority="423" operator="equal">
      <formula>"Media"</formula>
    </cfRule>
    <cfRule type="cellIs" dxfId="684" priority="424" operator="equal">
      <formula>"Baja"</formula>
    </cfRule>
    <cfRule type="cellIs" dxfId="683" priority="425" operator="equal">
      <formula>"Muy Baja"</formula>
    </cfRule>
  </conditionalFormatting>
  <conditionalFormatting sqref="I234">
    <cfRule type="cellIs" dxfId="682" priority="407" operator="equal">
      <formula>"Muy Alta"</formula>
    </cfRule>
    <cfRule type="cellIs" dxfId="681" priority="408" operator="equal">
      <formula>"Alta"</formula>
    </cfRule>
    <cfRule type="cellIs" dxfId="680" priority="409" operator="equal">
      <formula>"Media"</formula>
    </cfRule>
    <cfRule type="cellIs" dxfId="679" priority="410" operator="equal">
      <formula>"Baja"</formula>
    </cfRule>
    <cfRule type="cellIs" dxfId="678" priority="411" operator="equal">
      <formula>"Muy Baja"</formula>
    </cfRule>
  </conditionalFormatting>
  <conditionalFormatting sqref="I238">
    <cfRule type="cellIs" dxfId="677" priority="393" operator="equal">
      <formula>"Muy Alta"</formula>
    </cfRule>
    <cfRule type="cellIs" dxfId="676" priority="394" operator="equal">
      <formula>"Alta"</formula>
    </cfRule>
    <cfRule type="cellIs" dxfId="675" priority="395" operator="equal">
      <formula>"Media"</formula>
    </cfRule>
    <cfRule type="cellIs" dxfId="674" priority="396" operator="equal">
      <formula>"Baja"</formula>
    </cfRule>
    <cfRule type="cellIs" dxfId="673" priority="397" operator="equal">
      <formula>"Muy Baja"</formula>
    </cfRule>
  </conditionalFormatting>
  <conditionalFormatting sqref="I241">
    <cfRule type="cellIs" dxfId="672" priority="379" operator="equal">
      <formula>"Muy Alta"</formula>
    </cfRule>
    <cfRule type="cellIs" dxfId="671" priority="380" operator="equal">
      <formula>"Alta"</formula>
    </cfRule>
    <cfRule type="cellIs" dxfId="670" priority="381" operator="equal">
      <formula>"Media"</formula>
    </cfRule>
    <cfRule type="cellIs" dxfId="669" priority="382" operator="equal">
      <formula>"Baja"</formula>
    </cfRule>
    <cfRule type="cellIs" dxfId="668" priority="383" operator="equal">
      <formula>"Muy Baja"</formula>
    </cfRule>
  </conditionalFormatting>
  <conditionalFormatting sqref="I243">
    <cfRule type="cellIs" dxfId="667" priority="365" operator="equal">
      <formula>"Muy Alta"</formula>
    </cfRule>
    <cfRule type="cellIs" dxfId="666" priority="366" operator="equal">
      <formula>"Alta"</formula>
    </cfRule>
    <cfRule type="cellIs" dxfId="665" priority="367" operator="equal">
      <formula>"Media"</formula>
    </cfRule>
    <cfRule type="cellIs" dxfId="664" priority="368" operator="equal">
      <formula>"Baja"</formula>
    </cfRule>
    <cfRule type="cellIs" dxfId="663" priority="369" operator="equal">
      <formula>"Muy Baja"</formula>
    </cfRule>
  </conditionalFormatting>
  <conditionalFormatting sqref="I247">
    <cfRule type="cellIs" dxfId="662" priority="351" operator="equal">
      <formula>"Muy Alta"</formula>
    </cfRule>
    <cfRule type="cellIs" dxfId="661" priority="352" operator="equal">
      <formula>"Alta"</formula>
    </cfRule>
    <cfRule type="cellIs" dxfId="660" priority="353" operator="equal">
      <formula>"Media"</formula>
    </cfRule>
    <cfRule type="cellIs" dxfId="659" priority="354" operator="equal">
      <formula>"Baja"</formula>
    </cfRule>
    <cfRule type="cellIs" dxfId="658" priority="355" operator="equal">
      <formula>"Muy Baja"</formula>
    </cfRule>
  </conditionalFormatting>
  <conditionalFormatting sqref="I250:I251">
    <cfRule type="cellIs" dxfId="657" priority="323" operator="equal">
      <formula>"Muy Alta"</formula>
    </cfRule>
    <cfRule type="cellIs" dxfId="656" priority="324" operator="equal">
      <formula>"Alta"</formula>
    </cfRule>
    <cfRule type="cellIs" dxfId="655" priority="325" operator="equal">
      <formula>"Media"</formula>
    </cfRule>
    <cfRule type="cellIs" dxfId="654" priority="326" operator="equal">
      <formula>"Baja"</formula>
    </cfRule>
    <cfRule type="cellIs" dxfId="653" priority="327" operator="equal">
      <formula>"Muy Baja"</formula>
    </cfRule>
  </conditionalFormatting>
  <conditionalFormatting sqref="I254">
    <cfRule type="cellIs" dxfId="652" priority="309" operator="equal">
      <formula>"Muy Alta"</formula>
    </cfRule>
    <cfRule type="cellIs" dxfId="651" priority="310" operator="equal">
      <formula>"Alta"</formula>
    </cfRule>
    <cfRule type="cellIs" dxfId="650" priority="311" operator="equal">
      <formula>"Media"</formula>
    </cfRule>
    <cfRule type="cellIs" dxfId="649" priority="312" operator="equal">
      <formula>"Baja"</formula>
    </cfRule>
    <cfRule type="cellIs" dxfId="648" priority="313" operator="equal">
      <formula>"Muy Baja"</formula>
    </cfRule>
  </conditionalFormatting>
  <conditionalFormatting sqref="I257">
    <cfRule type="cellIs" dxfId="647" priority="295" operator="equal">
      <formula>"Muy Alta"</formula>
    </cfRule>
    <cfRule type="cellIs" dxfId="646" priority="296" operator="equal">
      <formula>"Alta"</formula>
    </cfRule>
    <cfRule type="cellIs" dxfId="645" priority="297" operator="equal">
      <formula>"Media"</formula>
    </cfRule>
    <cfRule type="cellIs" dxfId="644" priority="298" operator="equal">
      <formula>"Baja"</formula>
    </cfRule>
    <cfRule type="cellIs" dxfId="643" priority="299" operator="equal">
      <formula>"Muy Baja"</formula>
    </cfRule>
  </conditionalFormatting>
  <conditionalFormatting sqref="I260">
    <cfRule type="cellIs" dxfId="642" priority="281" operator="equal">
      <formula>"Muy Alta"</formula>
    </cfRule>
    <cfRule type="cellIs" dxfId="641" priority="282" operator="equal">
      <formula>"Alta"</formula>
    </cfRule>
    <cfRule type="cellIs" dxfId="640" priority="283" operator="equal">
      <formula>"Media"</formula>
    </cfRule>
    <cfRule type="cellIs" dxfId="639" priority="284" operator="equal">
      <formula>"Baja"</formula>
    </cfRule>
    <cfRule type="cellIs" dxfId="638" priority="285" operator="equal">
      <formula>"Muy Baja"</formula>
    </cfRule>
  </conditionalFormatting>
  <conditionalFormatting sqref="I263:I264">
    <cfRule type="cellIs" dxfId="637" priority="253" operator="equal">
      <formula>"Muy Alta"</formula>
    </cfRule>
    <cfRule type="cellIs" dxfId="636" priority="254" operator="equal">
      <formula>"Alta"</formula>
    </cfRule>
    <cfRule type="cellIs" dxfId="635" priority="255" operator="equal">
      <formula>"Media"</formula>
    </cfRule>
    <cfRule type="cellIs" dxfId="634" priority="256" operator="equal">
      <formula>"Baja"</formula>
    </cfRule>
    <cfRule type="cellIs" dxfId="633" priority="257" operator="equal">
      <formula>"Muy Baja"</formula>
    </cfRule>
  </conditionalFormatting>
  <conditionalFormatting sqref="I267">
    <cfRule type="cellIs" dxfId="632" priority="239" operator="equal">
      <formula>"Muy Alta"</formula>
    </cfRule>
    <cfRule type="cellIs" dxfId="631" priority="240" operator="equal">
      <formula>"Alta"</formula>
    </cfRule>
    <cfRule type="cellIs" dxfId="630" priority="241" operator="equal">
      <formula>"Media"</formula>
    </cfRule>
    <cfRule type="cellIs" dxfId="629" priority="242" operator="equal">
      <formula>"Baja"</formula>
    </cfRule>
    <cfRule type="cellIs" dxfId="628" priority="243" operator="equal">
      <formula>"Muy Baja"</formula>
    </cfRule>
  </conditionalFormatting>
  <conditionalFormatting sqref="I269">
    <cfRule type="cellIs" dxfId="627" priority="225" operator="equal">
      <formula>"Muy Alta"</formula>
    </cfRule>
    <cfRule type="cellIs" dxfId="626" priority="226" operator="equal">
      <formula>"Alta"</formula>
    </cfRule>
    <cfRule type="cellIs" dxfId="625" priority="227" operator="equal">
      <formula>"Media"</formula>
    </cfRule>
    <cfRule type="cellIs" dxfId="624" priority="228" operator="equal">
      <formula>"Baja"</formula>
    </cfRule>
    <cfRule type="cellIs" dxfId="623" priority="229" operator="equal">
      <formula>"Muy Baja"</formula>
    </cfRule>
  </conditionalFormatting>
  <conditionalFormatting sqref="I271">
    <cfRule type="cellIs" dxfId="622" priority="211" operator="equal">
      <formula>"Muy Alta"</formula>
    </cfRule>
    <cfRule type="cellIs" dxfId="621" priority="212" operator="equal">
      <formula>"Alta"</formula>
    </cfRule>
    <cfRule type="cellIs" dxfId="620" priority="213" operator="equal">
      <formula>"Media"</formula>
    </cfRule>
    <cfRule type="cellIs" dxfId="619" priority="214" operator="equal">
      <formula>"Baja"</formula>
    </cfRule>
    <cfRule type="cellIs" dxfId="618" priority="215" operator="equal">
      <formula>"Muy Baja"</formula>
    </cfRule>
  </conditionalFormatting>
  <conditionalFormatting sqref="I274">
    <cfRule type="cellIs" dxfId="617" priority="197" operator="equal">
      <formula>"Muy Alta"</formula>
    </cfRule>
    <cfRule type="cellIs" dxfId="616" priority="198" operator="equal">
      <formula>"Alta"</formula>
    </cfRule>
    <cfRule type="cellIs" dxfId="615" priority="199" operator="equal">
      <formula>"Media"</formula>
    </cfRule>
    <cfRule type="cellIs" dxfId="614" priority="200" operator="equal">
      <formula>"Baja"</formula>
    </cfRule>
    <cfRule type="cellIs" dxfId="613" priority="201" operator="equal">
      <formula>"Muy Baja"</formula>
    </cfRule>
  </conditionalFormatting>
  <conditionalFormatting sqref="I277">
    <cfRule type="cellIs" dxfId="612" priority="183" operator="equal">
      <formula>"Muy Alta"</formula>
    </cfRule>
    <cfRule type="cellIs" dxfId="611" priority="184" operator="equal">
      <formula>"Alta"</formula>
    </cfRule>
    <cfRule type="cellIs" dxfId="610" priority="185" operator="equal">
      <formula>"Media"</formula>
    </cfRule>
    <cfRule type="cellIs" dxfId="609" priority="186" operator="equal">
      <formula>"Baja"</formula>
    </cfRule>
    <cfRule type="cellIs" dxfId="608" priority="187" operator="equal">
      <formula>"Muy Baja"</formula>
    </cfRule>
  </conditionalFormatting>
  <conditionalFormatting sqref="I280">
    <cfRule type="cellIs" dxfId="607" priority="10" operator="equal">
      <formula>"Muy Alta"</formula>
    </cfRule>
    <cfRule type="cellIs" dxfId="606" priority="11" operator="equal">
      <formula>"Alta"</formula>
    </cfRule>
    <cfRule type="cellIs" dxfId="605" priority="12" operator="equal">
      <formula>"Media"</formula>
    </cfRule>
    <cfRule type="cellIs" dxfId="604" priority="13" operator="equal">
      <formula>"Baja"</formula>
    </cfRule>
    <cfRule type="cellIs" dxfId="603" priority="14" operator="equal">
      <formula>"Muy Baja"</formula>
    </cfRule>
  </conditionalFormatting>
  <conditionalFormatting sqref="I283">
    <cfRule type="cellIs" dxfId="602" priority="169" operator="equal">
      <formula>"Muy Alta"</formula>
    </cfRule>
    <cfRule type="cellIs" dxfId="601" priority="170" operator="equal">
      <formula>"Alta"</formula>
    </cfRule>
    <cfRule type="cellIs" dxfId="600" priority="171" operator="equal">
      <formula>"Media"</formula>
    </cfRule>
    <cfRule type="cellIs" dxfId="599" priority="172" operator="equal">
      <formula>"Baja"</formula>
    </cfRule>
    <cfRule type="cellIs" dxfId="598" priority="173" operator="equal">
      <formula>"Muy Baja"</formula>
    </cfRule>
  </conditionalFormatting>
  <conditionalFormatting sqref="I286">
    <cfRule type="cellIs" dxfId="597" priority="155" operator="equal">
      <formula>"Muy Alta"</formula>
    </cfRule>
    <cfRule type="cellIs" dxfId="596" priority="156" operator="equal">
      <formula>"Alta"</formula>
    </cfRule>
    <cfRule type="cellIs" dxfId="595" priority="157" operator="equal">
      <formula>"Media"</formula>
    </cfRule>
    <cfRule type="cellIs" dxfId="594" priority="158" operator="equal">
      <formula>"Baja"</formula>
    </cfRule>
    <cfRule type="cellIs" dxfId="593" priority="159" operator="equal">
      <formula>"Muy Baja"</formula>
    </cfRule>
  </conditionalFormatting>
  <conditionalFormatting sqref="I289">
    <cfRule type="cellIs" dxfId="592" priority="122" operator="equal">
      <formula>"Muy Alta"</formula>
    </cfRule>
    <cfRule type="cellIs" dxfId="591" priority="123" operator="equal">
      <formula>"Alta"</formula>
    </cfRule>
    <cfRule type="cellIs" dxfId="590" priority="124" operator="equal">
      <formula>"Media"</formula>
    </cfRule>
    <cfRule type="cellIs" dxfId="589" priority="125" operator="equal">
      <formula>"Baja"</formula>
    </cfRule>
    <cfRule type="cellIs" dxfId="588" priority="126" operator="equal">
      <formula>"Muy Baja"</formula>
    </cfRule>
  </conditionalFormatting>
  <conditionalFormatting sqref="I292">
    <cfRule type="cellIs" dxfId="587" priority="108" operator="equal">
      <formula>"Muy Alta"</formula>
    </cfRule>
    <cfRule type="cellIs" dxfId="586" priority="109" operator="equal">
      <formula>"Alta"</formula>
    </cfRule>
    <cfRule type="cellIs" dxfId="585" priority="110" operator="equal">
      <formula>"Media"</formula>
    </cfRule>
    <cfRule type="cellIs" dxfId="584" priority="111" operator="equal">
      <formula>"Baja"</formula>
    </cfRule>
    <cfRule type="cellIs" dxfId="583" priority="112" operator="equal">
      <formula>"Muy Baja"</formula>
    </cfRule>
  </conditionalFormatting>
  <conditionalFormatting sqref="I295">
    <cfRule type="cellIs" dxfId="582" priority="94" operator="equal">
      <formula>"Muy Alta"</formula>
    </cfRule>
    <cfRule type="cellIs" dxfId="581" priority="95" operator="equal">
      <formula>"Alta"</formula>
    </cfRule>
    <cfRule type="cellIs" dxfId="580" priority="96" operator="equal">
      <formula>"Media"</formula>
    </cfRule>
    <cfRule type="cellIs" dxfId="579" priority="97" operator="equal">
      <formula>"Baja"</formula>
    </cfRule>
    <cfRule type="cellIs" dxfId="578" priority="98" operator="equal">
      <formula>"Muy Baja"</formula>
    </cfRule>
  </conditionalFormatting>
  <conditionalFormatting sqref="I298">
    <cfRule type="cellIs" dxfId="577" priority="80" operator="equal">
      <formula>"Muy Alta"</formula>
    </cfRule>
    <cfRule type="cellIs" dxfId="576" priority="81" operator="equal">
      <formula>"Alta"</formula>
    </cfRule>
    <cfRule type="cellIs" dxfId="575" priority="82" operator="equal">
      <formula>"Media"</formula>
    </cfRule>
    <cfRule type="cellIs" dxfId="574" priority="83" operator="equal">
      <formula>"Baja"</formula>
    </cfRule>
    <cfRule type="cellIs" dxfId="573" priority="84" operator="equal">
      <formula>"Muy Baja"</formula>
    </cfRule>
  </conditionalFormatting>
  <conditionalFormatting sqref="I301">
    <cfRule type="cellIs" dxfId="572" priority="66" operator="equal">
      <formula>"Muy Alta"</formula>
    </cfRule>
    <cfRule type="cellIs" dxfId="571" priority="67" operator="equal">
      <formula>"Alta"</formula>
    </cfRule>
    <cfRule type="cellIs" dxfId="570" priority="68" operator="equal">
      <formula>"Media"</formula>
    </cfRule>
    <cfRule type="cellIs" dxfId="569" priority="69" operator="equal">
      <formula>"Baja"</formula>
    </cfRule>
    <cfRule type="cellIs" dxfId="568" priority="70" operator="equal">
      <formula>"Muy Baja"</formula>
    </cfRule>
  </conditionalFormatting>
  <conditionalFormatting sqref="I304">
    <cfRule type="cellIs" dxfId="567" priority="52" operator="equal">
      <formula>"Muy Alta"</formula>
    </cfRule>
    <cfRule type="cellIs" dxfId="566" priority="53" operator="equal">
      <formula>"Alta"</formula>
    </cfRule>
    <cfRule type="cellIs" dxfId="565" priority="54" operator="equal">
      <formula>"Media"</formula>
    </cfRule>
    <cfRule type="cellIs" dxfId="564" priority="55" operator="equal">
      <formula>"Baja"</formula>
    </cfRule>
    <cfRule type="cellIs" dxfId="563" priority="56" operator="equal">
      <formula>"Muy Baja"</formula>
    </cfRule>
  </conditionalFormatting>
  <conditionalFormatting sqref="I308">
    <cfRule type="cellIs" dxfId="562" priority="24" operator="equal">
      <formula>"Muy Alta"</formula>
    </cfRule>
    <cfRule type="cellIs" dxfId="561" priority="25" operator="equal">
      <formula>"Alta"</formula>
    </cfRule>
    <cfRule type="cellIs" dxfId="560" priority="26" operator="equal">
      <formula>"Media"</formula>
    </cfRule>
    <cfRule type="cellIs" dxfId="559" priority="27" operator="equal">
      <formula>"Baja"</formula>
    </cfRule>
    <cfRule type="cellIs" dxfId="558" priority="28" operator="equal">
      <formula>"Muy Baja"</formula>
    </cfRule>
  </conditionalFormatting>
  <conditionalFormatting sqref="I311">
    <cfRule type="cellIs" dxfId="557" priority="38" operator="equal">
      <formula>"Muy Alta"</formula>
    </cfRule>
    <cfRule type="cellIs" dxfId="556" priority="39" operator="equal">
      <formula>"Alta"</formula>
    </cfRule>
    <cfRule type="cellIs" dxfId="555" priority="40" operator="equal">
      <formula>"Media"</formula>
    </cfRule>
    <cfRule type="cellIs" dxfId="554" priority="41" operator="equal">
      <formula>"Baja"</formula>
    </cfRule>
    <cfRule type="cellIs" dxfId="553" priority="42" operator="equal">
      <formula>"Muy Baja"</formula>
    </cfRule>
  </conditionalFormatting>
  <conditionalFormatting sqref="L8:L314">
    <cfRule type="containsText" dxfId="552" priority="900" operator="containsText" text="❌">
      <formula>NOT(ISERROR(SEARCH("❌",L8)))</formula>
    </cfRule>
  </conditionalFormatting>
  <conditionalFormatting sqref="M8 AB8:AB314">
    <cfRule type="cellIs" dxfId="551" priority="919" operator="equal">
      <formula>"Catastrófico"</formula>
    </cfRule>
    <cfRule type="cellIs" dxfId="550" priority="920" operator="equal">
      <formula>"Mayor"</formula>
    </cfRule>
    <cfRule type="cellIs" dxfId="549" priority="921" operator="equal">
      <formula>"Moderado"</formula>
    </cfRule>
    <cfRule type="cellIs" dxfId="548" priority="922" operator="equal">
      <formula>"Menor"</formula>
    </cfRule>
    <cfRule type="cellIs" dxfId="547" priority="923" operator="equal">
      <formula>"Leve"</formula>
    </cfRule>
  </conditionalFormatting>
  <conditionalFormatting sqref="M14">
    <cfRule type="cellIs" dxfId="546" priority="962" operator="equal">
      <formula>"Catastrófico"</formula>
    </cfRule>
    <cfRule type="cellIs" dxfId="545" priority="963" operator="equal">
      <formula>"Mayor"</formula>
    </cfRule>
    <cfRule type="cellIs" dxfId="544" priority="964" operator="equal">
      <formula>"Moderado"</formula>
    </cfRule>
    <cfRule type="cellIs" dxfId="543" priority="965" operator="equal">
      <formula>"Menor"</formula>
    </cfRule>
    <cfRule type="cellIs" dxfId="542" priority="966" operator="equal">
      <formula>"Leve"</formula>
    </cfRule>
  </conditionalFormatting>
  <conditionalFormatting sqref="M20 M32 M36 M42 M48 M54 M60 M66 M72 M78">
    <cfRule type="cellIs" dxfId="541" priority="1335" operator="equal">
      <formula>"Catastrófico"</formula>
    </cfRule>
    <cfRule type="cellIs" dxfId="540" priority="1336" operator="equal">
      <formula>"Mayor"</formula>
    </cfRule>
    <cfRule type="cellIs" dxfId="539" priority="1337" operator="equal">
      <formula>"Moderado"</formula>
    </cfRule>
    <cfRule type="cellIs" dxfId="538" priority="1338" operator="equal">
      <formula>"Menor"</formula>
    </cfRule>
    <cfRule type="cellIs" dxfId="537" priority="1339" operator="equal">
      <formula>"Leve"</formula>
    </cfRule>
  </conditionalFormatting>
  <conditionalFormatting sqref="M26">
    <cfRule type="cellIs" dxfId="536" priority="872" operator="equal">
      <formula>"Catastrófico"</formula>
    </cfRule>
    <cfRule type="cellIs" dxfId="535" priority="873" operator="equal">
      <formula>"Mayor"</formula>
    </cfRule>
    <cfRule type="cellIs" dxfId="534" priority="874" operator="equal">
      <formula>"Moderado"</formula>
    </cfRule>
    <cfRule type="cellIs" dxfId="533" priority="875" operator="equal">
      <formula>"Menor"</formula>
    </cfRule>
    <cfRule type="cellIs" dxfId="532" priority="876" operator="equal">
      <formula>"Leve"</formula>
    </cfRule>
  </conditionalFormatting>
  <conditionalFormatting sqref="M84">
    <cfRule type="cellIs" dxfId="531" priority="848" operator="equal">
      <formula>"Catastrófico"</formula>
    </cfRule>
    <cfRule type="cellIs" dxfId="530" priority="849" operator="equal">
      <formula>"Mayor"</formula>
    </cfRule>
    <cfRule type="cellIs" dxfId="529" priority="850" operator="equal">
      <formula>"Moderado"</formula>
    </cfRule>
    <cfRule type="cellIs" dxfId="528" priority="851" operator="equal">
      <formula>"Menor"</formula>
    </cfRule>
    <cfRule type="cellIs" dxfId="527" priority="852" operator="equal">
      <formula>"Leve"</formula>
    </cfRule>
  </conditionalFormatting>
  <conditionalFormatting sqref="M89">
    <cfRule type="cellIs" dxfId="526" priority="834" operator="equal">
      <formula>"Catastrófico"</formula>
    </cfRule>
    <cfRule type="cellIs" dxfId="525" priority="835" operator="equal">
      <formula>"Mayor"</formula>
    </cfRule>
    <cfRule type="cellIs" dxfId="524" priority="836" operator="equal">
      <formula>"Moderado"</formula>
    </cfRule>
    <cfRule type="cellIs" dxfId="523" priority="837" operator="equal">
      <formula>"Menor"</formula>
    </cfRule>
    <cfRule type="cellIs" dxfId="522" priority="838" operator="equal">
      <formula>"Leve"</formula>
    </cfRule>
  </conditionalFormatting>
  <conditionalFormatting sqref="M94">
    <cfRule type="cellIs" dxfId="521" priority="820" operator="equal">
      <formula>"Catastrófico"</formula>
    </cfRule>
    <cfRule type="cellIs" dxfId="520" priority="821" operator="equal">
      <formula>"Mayor"</formula>
    </cfRule>
    <cfRule type="cellIs" dxfId="519" priority="822" operator="equal">
      <formula>"Moderado"</formula>
    </cfRule>
    <cfRule type="cellIs" dxfId="518" priority="823" operator="equal">
      <formula>"Menor"</formula>
    </cfRule>
    <cfRule type="cellIs" dxfId="517" priority="824" operator="equal">
      <formula>"Leve"</formula>
    </cfRule>
  </conditionalFormatting>
  <conditionalFormatting sqref="M99">
    <cfRule type="cellIs" dxfId="516" priority="806" operator="equal">
      <formula>"Catastrófico"</formula>
    </cfRule>
    <cfRule type="cellIs" dxfId="515" priority="807" operator="equal">
      <formula>"Mayor"</formula>
    </cfRule>
    <cfRule type="cellIs" dxfId="514" priority="808" operator="equal">
      <formula>"Moderado"</formula>
    </cfRule>
    <cfRule type="cellIs" dxfId="513" priority="809" operator="equal">
      <formula>"Menor"</formula>
    </cfRule>
    <cfRule type="cellIs" dxfId="512" priority="810" operator="equal">
      <formula>"Leve"</formula>
    </cfRule>
  </conditionalFormatting>
  <conditionalFormatting sqref="M104">
    <cfRule type="cellIs" dxfId="511" priority="792" operator="equal">
      <formula>"Catastrófico"</formula>
    </cfRule>
    <cfRule type="cellIs" dxfId="510" priority="793" operator="equal">
      <formula>"Mayor"</formula>
    </cfRule>
    <cfRule type="cellIs" dxfId="509" priority="794" operator="equal">
      <formula>"Moderado"</formula>
    </cfRule>
    <cfRule type="cellIs" dxfId="508" priority="795" operator="equal">
      <formula>"Menor"</formula>
    </cfRule>
    <cfRule type="cellIs" dxfId="507" priority="796" operator="equal">
      <formula>"Leve"</formula>
    </cfRule>
  </conditionalFormatting>
  <conditionalFormatting sqref="M110">
    <cfRule type="cellIs" dxfId="506" priority="778" operator="equal">
      <formula>"Catastrófico"</formula>
    </cfRule>
    <cfRule type="cellIs" dxfId="505" priority="779" operator="equal">
      <formula>"Mayor"</formula>
    </cfRule>
    <cfRule type="cellIs" dxfId="504" priority="780" operator="equal">
      <formula>"Moderado"</formula>
    </cfRule>
    <cfRule type="cellIs" dxfId="503" priority="781" operator="equal">
      <formula>"Menor"</formula>
    </cfRule>
    <cfRule type="cellIs" dxfId="502" priority="782" operator="equal">
      <formula>"Leve"</formula>
    </cfRule>
  </conditionalFormatting>
  <conditionalFormatting sqref="M116">
    <cfRule type="cellIs" dxfId="501" priority="764" operator="equal">
      <formula>"Catastrófico"</formula>
    </cfRule>
    <cfRule type="cellIs" dxfId="500" priority="765" operator="equal">
      <formula>"Mayor"</formula>
    </cfRule>
    <cfRule type="cellIs" dxfId="499" priority="766" operator="equal">
      <formula>"Moderado"</formula>
    </cfRule>
    <cfRule type="cellIs" dxfId="498" priority="767" operator="equal">
      <formula>"Menor"</formula>
    </cfRule>
    <cfRule type="cellIs" dxfId="497" priority="768" operator="equal">
      <formula>"Leve"</formula>
    </cfRule>
  </conditionalFormatting>
  <conditionalFormatting sqref="M122">
    <cfRule type="cellIs" dxfId="496" priority="750" operator="equal">
      <formula>"Catastrófico"</formula>
    </cfRule>
    <cfRule type="cellIs" dxfId="495" priority="751" operator="equal">
      <formula>"Mayor"</formula>
    </cfRule>
    <cfRule type="cellIs" dxfId="494" priority="752" operator="equal">
      <formula>"Moderado"</formula>
    </cfRule>
    <cfRule type="cellIs" dxfId="493" priority="753" operator="equal">
      <formula>"Menor"</formula>
    </cfRule>
    <cfRule type="cellIs" dxfId="492" priority="754" operator="equal">
      <formula>"Leve"</formula>
    </cfRule>
  </conditionalFormatting>
  <conditionalFormatting sqref="M128">
    <cfRule type="cellIs" dxfId="491" priority="736" operator="equal">
      <formula>"Catastrófico"</formula>
    </cfRule>
    <cfRule type="cellIs" dxfId="490" priority="737" operator="equal">
      <formula>"Mayor"</formula>
    </cfRule>
    <cfRule type="cellIs" dxfId="489" priority="738" operator="equal">
      <formula>"Moderado"</formula>
    </cfRule>
    <cfRule type="cellIs" dxfId="488" priority="739" operator="equal">
      <formula>"Menor"</formula>
    </cfRule>
    <cfRule type="cellIs" dxfId="487" priority="740" operator="equal">
      <formula>"Leve"</formula>
    </cfRule>
  </conditionalFormatting>
  <conditionalFormatting sqref="M134">
    <cfRule type="cellIs" dxfId="486" priority="722" operator="equal">
      <formula>"Catastrófico"</formula>
    </cfRule>
    <cfRule type="cellIs" dxfId="485" priority="723" operator="equal">
      <formula>"Mayor"</formula>
    </cfRule>
    <cfRule type="cellIs" dxfId="484" priority="724" operator="equal">
      <formula>"Moderado"</formula>
    </cfRule>
    <cfRule type="cellIs" dxfId="483" priority="725" operator="equal">
      <formula>"Menor"</formula>
    </cfRule>
    <cfRule type="cellIs" dxfId="482" priority="726" operator="equal">
      <formula>"Leve"</formula>
    </cfRule>
  </conditionalFormatting>
  <conditionalFormatting sqref="M140">
    <cfRule type="cellIs" dxfId="481" priority="708" operator="equal">
      <formula>"Catastrófico"</formula>
    </cfRule>
    <cfRule type="cellIs" dxfId="480" priority="709" operator="equal">
      <formula>"Mayor"</formula>
    </cfRule>
    <cfRule type="cellIs" dxfId="479" priority="710" operator="equal">
      <formula>"Moderado"</formula>
    </cfRule>
    <cfRule type="cellIs" dxfId="478" priority="711" operator="equal">
      <formula>"Menor"</formula>
    </cfRule>
    <cfRule type="cellIs" dxfId="477" priority="712" operator="equal">
      <formula>"Leve"</formula>
    </cfRule>
  </conditionalFormatting>
  <conditionalFormatting sqref="M146">
    <cfRule type="cellIs" dxfId="476" priority="694" operator="equal">
      <formula>"Catastrófico"</formula>
    </cfRule>
    <cfRule type="cellIs" dxfId="475" priority="695" operator="equal">
      <formula>"Mayor"</formula>
    </cfRule>
    <cfRule type="cellIs" dxfId="474" priority="696" operator="equal">
      <formula>"Moderado"</formula>
    </cfRule>
    <cfRule type="cellIs" dxfId="473" priority="697" operator="equal">
      <formula>"Menor"</formula>
    </cfRule>
    <cfRule type="cellIs" dxfId="472" priority="698" operator="equal">
      <formula>"Leve"</formula>
    </cfRule>
  </conditionalFormatting>
  <conditionalFormatting sqref="M152">
    <cfRule type="cellIs" dxfId="471" priority="680" operator="equal">
      <formula>"Catastrófico"</formula>
    </cfRule>
    <cfRule type="cellIs" dxfId="470" priority="681" operator="equal">
      <formula>"Mayor"</formula>
    </cfRule>
    <cfRule type="cellIs" dxfId="469" priority="682" operator="equal">
      <formula>"Moderado"</formula>
    </cfRule>
    <cfRule type="cellIs" dxfId="468" priority="683" operator="equal">
      <formula>"Menor"</formula>
    </cfRule>
    <cfRule type="cellIs" dxfId="467" priority="684" operator="equal">
      <formula>"Leve"</formula>
    </cfRule>
  </conditionalFormatting>
  <conditionalFormatting sqref="M158">
    <cfRule type="cellIs" dxfId="466" priority="652" operator="equal">
      <formula>"Catastrófico"</formula>
    </cfRule>
    <cfRule type="cellIs" dxfId="465" priority="653" operator="equal">
      <formula>"Mayor"</formula>
    </cfRule>
    <cfRule type="cellIs" dxfId="464" priority="654" operator="equal">
      <formula>"Moderado"</formula>
    </cfRule>
    <cfRule type="cellIs" dxfId="463" priority="655" operator="equal">
      <formula>"Menor"</formula>
    </cfRule>
    <cfRule type="cellIs" dxfId="462" priority="656" operator="equal">
      <formula>"Leve"</formula>
    </cfRule>
  </conditionalFormatting>
  <conditionalFormatting sqref="M164">
    <cfRule type="cellIs" dxfId="461" priority="666" operator="equal">
      <formula>"Catastrófico"</formula>
    </cfRule>
    <cfRule type="cellIs" dxfId="460" priority="667" operator="equal">
      <formula>"Mayor"</formula>
    </cfRule>
    <cfRule type="cellIs" dxfId="459" priority="668" operator="equal">
      <formula>"Moderado"</formula>
    </cfRule>
    <cfRule type="cellIs" dxfId="458" priority="669" operator="equal">
      <formula>"Menor"</formula>
    </cfRule>
    <cfRule type="cellIs" dxfId="457" priority="670" operator="equal">
      <formula>"Leve"</formula>
    </cfRule>
  </conditionalFormatting>
  <conditionalFormatting sqref="M175">
    <cfRule type="cellIs" dxfId="456" priority="638" operator="equal">
      <formula>"Catastrófico"</formula>
    </cfRule>
    <cfRule type="cellIs" dxfId="455" priority="639" operator="equal">
      <formula>"Mayor"</formula>
    </cfRule>
    <cfRule type="cellIs" dxfId="454" priority="640" operator="equal">
      <formula>"Moderado"</formula>
    </cfRule>
    <cfRule type="cellIs" dxfId="453" priority="641" operator="equal">
      <formula>"Menor"</formula>
    </cfRule>
    <cfRule type="cellIs" dxfId="452" priority="642" operator="equal">
      <formula>"Leve"</formula>
    </cfRule>
  </conditionalFormatting>
  <conditionalFormatting sqref="M181">
    <cfRule type="cellIs" dxfId="451" priority="614" operator="equal">
      <formula>"Catastrófico"</formula>
    </cfRule>
    <cfRule type="cellIs" dxfId="450" priority="615" operator="equal">
      <formula>"Mayor"</formula>
    </cfRule>
    <cfRule type="cellIs" dxfId="449" priority="616" operator="equal">
      <formula>"Moderado"</formula>
    </cfRule>
    <cfRule type="cellIs" dxfId="448" priority="617" operator="equal">
      <formula>"Menor"</formula>
    </cfRule>
    <cfRule type="cellIs" dxfId="447" priority="618" operator="equal">
      <formula>"Leve"</formula>
    </cfRule>
  </conditionalFormatting>
  <conditionalFormatting sqref="M186">
    <cfRule type="cellIs" dxfId="446" priority="562" operator="equal">
      <formula>"Catastrófico"</formula>
    </cfRule>
    <cfRule type="cellIs" dxfId="445" priority="563" operator="equal">
      <formula>"Mayor"</formula>
    </cfRule>
    <cfRule type="cellIs" dxfId="444" priority="564" operator="equal">
      <formula>"Moderado"</formula>
    </cfRule>
    <cfRule type="cellIs" dxfId="443" priority="565" operator="equal">
      <formula>"Menor"</formula>
    </cfRule>
    <cfRule type="cellIs" dxfId="442" priority="566" operator="equal">
      <formula>"Leve"</formula>
    </cfRule>
  </conditionalFormatting>
  <conditionalFormatting sqref="M192">
    <cfRule type="cellIs" dxfId="441" priority="600" operator="equal">
      <formula>"Catastrófico"</formula>
    </cfRule>
    <cfRule type="cellIs" dxfId="440" priority="601" operator="equal">
      <formula>"Mayor"</formula>
    </cfRule>
    <cfRule type="cellIs" dxfId="439" priority="602" operator="equal">
      <formula>"Moderado"</formula>
    </cfRule>
    <cfRule type="cellIs" dxfId="438" priority="603" operator="equal">
      <formula>"Menor"</formula>
    </cfRule>
    <cfRule type="cellIs" dxfId="437" priority="604" operator="equal">
      <formula>"Leve"</formula>
    </cfRule>
  </conditionalFormatting>
  <conditionalFormatting sqref="M198">
    <cfRule type="cellIs" dxfId="436" priority="586" operator="equal">
      <formula>"Catastrófico"</formula>
    </cfRule>
    <cfRule type="cellIs" dxfId="435" priority="587" operator="equal">
      <formula>"Mayor"</formula>
    </cfRule>
    <cfRule type="cellIs" dxfId="434" priority="588" operator="equal">
      <formula>"Moderado"</formula>
    </cfRule>
    <cfRule type="cellIs" dxfId="433" priority="589" operator="equal">
      <formula>"Menor"</formula>
    </cfRule>
    <cfRule type="cellIs" dxfId="432" priority="590" operator="equal">
      <formula>"Leve"</formula>
    </cfRule>
  </conditionalFormatting>
  <conditionalFormatting sqref="M204">
    <cfRule type="cellIs" dxfId="431" priority="538" operator="equal">
      <formula>"Catastrófico"</formula>
    </cfRule>
    <cfRule type="cellIs" dxfId="430" priority="539" operator="equal">
      <formula>"Mayor"</formula>
    </cfRule>
    <cfRule type="cellIs" dxfId="429" priority="540" operator="equal">
      <formula>"Moderado"</formula>
    </cfRule>
    <cfRule type="cellIs" dxfId="428" priority="541" operator="equal">
      <formula>"Menor"</formula>
    </cfRule>
    <cfRule type="cellIs" dxfId="427" priority="542" operator="equal">
      <formula>"Leve"</formula>
    </cfRule>
  </conditionalFormatting>
  <conditionalFormatting sqref="M207">
    <cfRule type="cellIs" dxfId="426" priority="524" operator="equal">
      <formula>"Catastrófico"</formula>
    </cfRule>
    <cfRule type="cellIs" dxfId="425" priority="525" operator="equal">
      <formula>"Mayor"</formula>
    </cfRule>
    <cfRule type="cellIs" dxfId="424" priority="526" operator="equal">
      <formula>"Moderado"</formula>
    </cfRule>
    <cfRule type="cellIs" dxfId="423" priority="527" operator="equal">
      <formula>"Menor"</formula>
    </cfRule>
    <cfRule type="cellIs" dxfId="422" priority="528" operator="equal">
      <formula>"Leve"</formula>
    </cfRule>
  </conditionalFormatting>
  <conditionalFormatting sqref="M213">
    <cfRule type="cellIs" dxfId="421" priority="500" operator="equal">
      <formula>"Catastrófico"</formula>
    </cfRule>
    <cfRule type="cellIs" dxfId="420" priority="501" operator="equal">
      <formula>"Mayor"</formula>
    </cfRule>
    <cfRule type="cellIs" dxfId="419" priority="502" operator="equal">
      <formula>"Moderado"</formula>
    </cfRule>
    <cfRule type="cellIs" dxfId="418" priority="503" operator="equal">
      <formula>"Menor"</formula>
    </cfRule>
    <cfRule type="cellIs" dxfId="417" priority="504" operator="equal">
      <formula>"Leve"</formula>
    </cfRule>
  </conditionalFormatting>
  <conditionalFormatting sqref="M219">
    <cfRule type="cellIs" dxfId="416" priority="486" operator="equal">
      <formula>"Catastrófico"</formula>
    </cfRule>
    <cfRule type="cellIs" dxfId="415" priority="487" operator="equal">
      <formula>"Mayor"</formula>
    </cfRule>
    <cfRule type="cellIs" dxfId="414" priority="488" operator="equal">
      <formula>"Moderado"</formula>
    </cfRule>
    <cfRule type="cellIs" dxfId="413" priority="489" operator="equal">
      <formula>"Menor"</formula>
    </cfRule>
    <cfRule type="cellIs" dxfId="412" priority="490" operator="equal">
      <formula>"Leve"</formula>
    </cfRule>
  </conditionalFormatting>
  <conditionalFormatting sqref="M222">
    <cfRule type="cellIs" dxfId="411" priority="472" operator="equal">
      <formula>"Catastrófico"</formula>
    </cfRule>
    <cfRule type="cellIs" dxfId="410" priority="473" operator="equal">
      <formula>"Mayor"</formula>
    </cfRule>
    <cfRule type="cellIs" dxfId="409" priority="474" operator="equal">
      <formula>"Moderado"</formula>
    </cfRule>
    <cfRule type="cellIs" dxfId="408" priority="475" operator="equal">
      <formula>"Menor"</formula>
    </cfRule>
    <cfRule type="cellIs" dxfId="407" priority="476" operator="equal">
      <formula>"Leve"</formula>
    </cfRule>
  </conditionalFormatting>
  <conditionalFormatting sqref="M226">
    <cfRule type="cellIs" dxfId="406" priority="444" operator="equal">
      <formula>"Catastrófico"</formula>
    </cfRule>
    <cfRule type="cellIs" dxfId="405" priority="445" operator="equal">
      <formula>"Mayor"</formula>
    </cfRule>
    <cfRule type="cellIs" dxfId="404" priority="446" operator="equal">
      <formula>"Moderado"</formula>
    </cfRule>
    <cfRule type="cellIs" dxfId="403" priority="447" operator="equal">
      <formula>"Menor"</formula>
    </cfRule>
    <cfRule type="cellIs" dxfId="402" priority="448" operator="equal">
      <formula>"Leve"</formula>
    </cfRule>
  </conditionalFormatting>
  <conditionalFormatting sqref="M229">
    <cfRule type="cellIs" dxfId="401" priority="430" operator="equal">
      <formula>"Catastrófico"</formula>
    </cfRule>
    <cfRule type="cellIs" dxfId="400" priority="431" operator="equal">
      <formula>"Mayor"</formula>
    </cfRule>
    <cfRule type="cellIs" dxfId="399" priority="432" operator="equal">
      <formula>"Moderado"</formula>
    </cfRule>
    <cfRule type="cellIs" dxfId="398" priority="433" operator="equal">
      <formula>"Menor"</formula>
    </cfRule>
    <cfRule type="cellIs" dxfId="397" priority="434" operator="equal">
      <formula>"Leve"</formula>
    </cfRule>
  </conditionalFormatting>
  <conditionalFormatting sqref="M231">
    <cfRule type="cellIs" dxfId="396" priority="416" operator="equal">
      <formula>"Catastrófico"</formula>
    </cfRule>
    <cfRule type="cellIs" dxfId="395" priority="417" operator="equal">
      <formula>"Mayor"</formula>
    </cfRule>
    <cfRule type="cellIs" dxfId="394" priority="418" operator="equal">
      <formula>"Moderado"</formula>
    </cfRule>
    <cfRule type="cellIs" dxfId="393" priority="419" operator="equal">
      <formula>"Menor"</formula>
    </cfRule>
    <cfRule type="cellIs" dxfId="392" priority="420" operator="equal">
      <formula>"Leve"</formula>
    </cfRule>
  </conditionalFormatting>
  <conditionalFormatting sqref="M234">
    <cfRule type="cellIs" dxfId="391" priority="402" operator="equal">
      <formula>"Catastrófico"</formula>
    </cfRule>
    <cfRule type="cellIs" dxfId="390" priority="403" operator="equal">
      <formula>"Mayor"</formula>
    </cfRule>
    <cfRule type="cellIs" dxfId="389" priority="404" operator="equal">
      <formula>"Moderado"</formula>
    </cfRule>
    <cfRule type="cellIs" dxfId="388" priority="405" operator="equal">
      <formula>"Menor"</formula>
    </cfRule>
    <cfRule type="cellIs" dxfId="387" priority="406" operator="equal">
      <formula>"Leve"</formula>
    </cfRule>
  </conditionalFormatting>
  <conditionalFormatting sqref="M238">
    <cfRule type="cellIs" dxfId="386" priority="388" operator="equal">
      <formula>"Catastrófico"</formula>
    </cfRule>
    <cfRule type="cellIs" dxfId="385" priority="389" operator="equal">
      <formula>"Mayor"</formula>
    </cfRule>
    <cfRule type="cellIs" dxfId="384" priority="390" operator="equal">
      <formula>"Moderado"</formula>
    </cfRule>
    <cfRule type="cellIs" dxfId="383" priority="391" operator="equal">
      <formula>"Menor"</formula>
    </cfRule>
    <cfRule type="cellIs" dxfId="382" priority="392" operator="equal">
      <formula>"Leve"</formula>
    </cfRule>
  </conditionalFormatting>
  <conditionalFormatting sqref="M241">
    <cfRule type="cellIs" dxfId="381" priority="374" operator="equal">
      <formula>"Catastrófico"</formula>
    </cfRule>
    <cfRule type="cellIs" dxfId="380" priority="375" operator="equal">
      <formula>"Mayor"</formula>
    </cfRule>
    <cfRule type="cellIs" dxfId="379" priority="376" operator="equal">
      <formula>"Moderado"</formula>
    </cfRule>
    <cfRule type="cellIs" dxfId="378" priority="377" operator="equal">
      <formula>"Menor"</formula>
    </cfRule>
    <cfRule type="cellIs" dxfId="377" priority="378" operator="equal">
      <formula>"Leve"</formula>
    </cfRule>
  </conditionalFormatting>
  <conditionalFormatting sqref="M243">
    <cfRule type="cellIs" dxfId="376" priority="360" operator="equal">
      <formula>"Catastrófico"</formula>
    </cfRule>
    <cfRule type="cellIs" dxfId="375" priority="361" operator="equal">
      <formula>"Mayor"</formula>
    </cfRule>
    <cfRule type="cellIs" dxfId="374" priority="362" operator="equal">
      <formula>"Moderado"</formula>
    </cfRule>
    <cfRule type="cellIs" dxfId="373" priority="363" operator="equal">
      <formula>"Menor"</formula>
    </cfRule>
    <cfRule type="cellIs" dxfId="372" priority="364" operator="equal">
      <formula>"Leve"</formula>
    </cfRule>
  </conditionalFormatting>
  <conditionalFormatting sqref="M247">
    <cfRule type="cellIs" dxfId="371" priority="346" operator="equal">
      <formula>"Catastrófico"</formula>
    </cfRule>
    <cfRule type="cellIs" dxfId="370" priority="347" operator="equal">
      <formula>"Mayor"</formula>
    </cfRule>
    <cfRule type="cellIs" dxfId="369" priority="348" operator="equal">
      <formula>"Moderado"</formula>
    </cfRule>
    <cfRule type="cellIs" dxfId="368" priority="349" operator="equal">
      <formula>"Menor"</formula>
    </cfRule>
    <cfRule type="cellIs" dxfId="367" priority="350" operator="equal">
      <formula>"Leve"</formula>
    </cfRule>
  </conditionalFormatting>
  <conditionalFormatting sqref="M250:M251">
    <cfRule type="cellIs" dxfId="366" priority="318" operator="equal">
      <formula>"Catastrófico"</formula>
    </cfRule>
    <cfRule type="cellIs" dxfId="365" priority="319" operator="equal">
      <formula>"Mayor"</formula>
    </cfRule>
    <cfRule type="cellIs" dxfId="364" priority="320" operator="equal">
      <formula>"Moderado"</formula>
    </cfRule>
    <cfRule type="cellIs" dxfId="363" priority="321" operator="equal">
      <formula>"Menor"</formula>
    </cfRule>
    <cfRule type="cellIs" dxfId="362" priority="322" operator="equal">
      <formula>"Leve"</formula>
    </cfRule>
  </conditionalFormatting>
  <conditionalFormatting sqref="M254">
    <cfRule type="cellIs" dxfId="361" priority="304" operator="equal">
      <formula>"Catastrófico"</formula>
    </cfRule>
    <cfRule type="cellIs" dxfId="360" priority="305" operator="equal">
      <formula>"Mayor"</formula>
    </cfRule>
    <cfRule type="cellIs" dxfId="359" priority="306" operator="equal">
      <formula>"Moderado"</formula>
    </cfRule>
    <cfRule type="cellIs" dxfId="358" priority="307" operator="equal">
      <formula>"Menor"</formula>
    </cfRule>
    <cfRule type="cellIs" dxfId="357" priority="308" operator="equal">
      <formula>"Leve"</formula>
    </cfRule>
  </conditionalFormatting>
  <conditionalFormatting sqref="M257">
    <cfRule type="cellIs" dxfId="356" priority="290" operator="equal">
      <formula>"Catastrófico"</formula>
    </cfRule>
    <cfRule type="cellIs" dxfId="355" priority="291" operator="equal">
      <formula>"Mayor"</formula>
    </cfRule>
    <cfRule type="cellIs" dxfId="354" priority="292" operator="equal">
      <formula>"Moderado"</formula>
    </cfRule>
    <cfRule type="cellIs" dxfId="353" priority="293" operator="equal">
      <formula>"Menor"</formula>
    </cfRule>
    <cfRule type="cellIs" dxfId="352" priority="294" operator="equal">
      <formula>"Leve"</formula>
    </cfRule>
  </conditionalFormatting>
  <conditionalFormatting sqref="M260">
    <cfRule type="cellIs" dxfId="351" priority="276" operator="equal">
      <formula>"Catastrófico"</formula>
    </cfRule>
    <cfRule type="cellIs" dxfId="350" priority="277" operator="equal">
      <formula>"Mayor"</formula>
    </cfRule>
    <cfRule type="cellIs" dxfId="349" priority="278" operator="equal">
      <formula>"Moderado"</formula>
    </cfRule>
    <cfRule type="cellIs" dxfId="348" priority="279" operator="equal">
      <formula>"Menor"</formula>
    </cfRule>
    <cfRule type="cellIs" dxfId="347" priority="280" operator="equal">
      <formula>"Leve"</formula>
    </cfRule>
  </conditionalFormatting>
  <conditionalFormatting sqref="M263:M264">
    <cfRule type="cellIs" dxfId="346" priority="248" operator="equal">
      <formula>"Catastrófico"</formula>
    </cfRule>
    <cfRule type="cellIs" dxfId="345" priority="249" operator="equal">
      <formula>"Mayor"</formula>
    </cfRule>
    <cfRule type="cellIs" dxfId="344" priority="250" operator="equal">
      <formula>"Moderado"</formula>
    </cfRule>
    <cfRule type="cellIs" dxfId="343" priority="251" operator="equal">
      <formula>"Menor"</formula>
    </cfRule>
    <cfRule type="cellIs" dxfId="342" priority="252" operator="equal">
      <formula>"Leve"</formula>
    </cfRule>
  </conditionalFormatting>
  <conditionalFormatting sqref="M267">
    <cfRule type="cellIs" dxfId="341" priority="234" operator="equal">
      <formula>"Catastrófico"</formula>
    </cfRule>
    <cfRule type="cellIs" dxfId="340" priority="235" operator="equal">
      <formula>"Mayor"</formula>
    </cfRule>
    <cfRule type="cellIs" dxfId="339" priority="236" operator="equal">
      <formula>"Moderado"</formula>
    </cfRule>
    <cfRule type="cellIs" dxfId="338" priority="237" operator="equal">
      <formula>"Menor"</formula>
    </cfRule>
    <cfRule type="cellIs" dxfId="337" priority="238" operator="equal">
      <formula>"Leve"</formula>
    </cfRule>
  </conditionalFormatting>
  <conditionalFormatting sqref="M269">
    <cfRule type="cellIs" dxfId="336" priority="220" operator="equal">
      <formula>"Catastrófico"</formula>
    </cfRule>
    <cfRule type="cellIs" dxfId="335" priority="221" operator="equal">
      <formula>"Mayor"</formula>
    </cfRule>
    <cfRule type="cellIs" dxfId="334" priority="222" operator="equal">
      <formula>"Moderado"</formula>
    </cfRule>
    <cfRule type="cellIs" dxfId="333" priority="223" operator="equal">
      <formula>"Menor"</formula>
    </cfRule>
    <cfRule type="cellIs" dxfId="332" priority="224" operator="equal">
      <formula>"Leve"</formula>
    </cfRule>
  </conditionalFormatting>
  <conditionalFormatting sqref="M271">
    <cfRule type="cellIs" dxfId="331" priority="206" operator="equal">
      <formula>"Catastrófico"</formula>
    </cfRule>
    <cfRule type="cellIs" dxfId="330" priority="207" operator="equal">
      <formula>"Mayor"</formula>
    </cfRule>
    <cfRule type="cellIs" dxfId="329" priority="208" operator="equal">
      <formula>"Moderado"</formula>
    </cfRule>
    <cfRule type="cellIs" dxfId="328" priority="209" operator="equal">
      <formula>"Menor"</formula>
    </cfRule>
    <cfRule type="cellIs" dxfId="327" priority="210" operator="equal">
      <formula>"Leve"</formula>
    </cfRule>
  </conditionalFormatting>
  <conditionalFormatting sqref="M274">
    <cfRule type="cellIs" dxfId="326" priority="192" operator="equal">
      <formula>"Catastrófico"</formula>
    </cfRule>
    <cfRule type="cellIs" dxfId="325" priority="193" operator="equal">
      <formula>"Mayor"</formula>
    </cfRule>
    <cfRule type="cellIs" dxfId="324" priority="194" operator="equal">
      <formula>"Moderado"</formula>
    </cfRule>
    <cfRule type="cellIs" dxfId="323" priority="195" operator="equal">
      <formula>"Menor"</formula>
    </cfRule>
    <cfRule type="cellIs" dxfId="322" priority="196" operator="equal">
      <formula>"Leve"</formula>
    </cfRule>
  </conditionalFormatting>
  <conditionalFormatting sqref="M277">
    <cfRule type="cellIs" dxfId="321" priority="178" operator="equal">
      <formula>"Catastrófico"</formula>
    </cfRule>
    <cfRule type="cellIs" dxfId="320" priority="179" operator="equal">
      <formula>"Mayor"</formula>
    </cfRule>
    <cfRule type="cellIs" dxfId="319" priority="180" operator="equal">
      <formula>"Moderado"</formula>
    </cfRule>
    <cfRule type="cellIs" dxfId="318" priority="181" operator="equal">
      <formula>"Menor"</formula>
    </cfRule>
    <cfRule type="cellIs" dxfId="317" priority="182" operator="equal">
      <formula>"Leve"</formula>
    </cfRule>
  </conditionalFormatting>
  <conditionalFormatting sqref="M280">
    <cfRule type="cellIs" dxfId="316" priority="5" operator="equal">
      <formula>"Catastrófico"</formula>
    </cfRule>
    <cfRule type="cellIs" dxfId="315" priority="6" operator="equal">
      <formula>"Mayor"</formula>
    </cfRule>
    <cfRule type="cellIs" dxfId="314" priority="7" operator="equal">
      <formula>"Moderado"</formula>
    </cfRule>
    <cfRule type="cellIs" dxfId="313" priority="8" operator="equal">
      <formula>"Menor"</formula>
    </cfRule>
    <cfRule type="cellIs" dxfId="312" priority="9" operator="equal">
      <formula>"Leve"</formula>
    </cfRule>
  </conditionalFormatting>
  <conditionalFormatting sqref="M283">
    <cfRule type="cellIs" dxfId="311" priority="164" operator="equal">
      <formula>"Catastrófico"</formula>
    </cfRule>
    <cfRule type="cellIs" dxfId="310" priority="165" operator="equal">
      <formula>"Mayor"</formula>
    </cfRule>
    <cfRule type="cellIs" dxfId="309" priority="166" operator="equal">
      <formula>"Moderado"</formula>
    </cfRule>
    <cfRule type="cellIs" dxfId="308" priority="167" operator="equal">
      <formula>"Menor"</formula>
    </cfRule>
    <cfRule type="cellIs" dxfId="307" priority="168" operator="equal">
      <formula>"Leve"</formula>
    </cfRule>
  </conditionalFormatting>
  <conditionalFormatting sqref="M286">
    <cfRule type="cellIs" dxfId="306" priority="150" operator="equal">
      <formula>"Catastrófico"</formula>
    </cfRule>
    <cfRule type="cellIs" dxfId="305" priority="151" operator="equal">
      <formula>"Mayor"</formula>
    </cfRule>
    <cfRule type="cellIs" dxfId="304" priority="152" operator="equal">
      <formula>"Moderado"</formula>
    </cfRule>
    <cfRule type="cellIs" dxfId="303" priority="153" operator="equal">
      <formula>"Menor"</formula>
    </cfRule>
    <cfRule type="cellIs" dxfId="302" priority="154" operator="equal">
      <formula>"Leve"</formula>
    </cfRule>
  </conditionalFormatting>
  <conditionalFormatting sqref="M289">
    <cfRule type="cellIs" dxfId="301" priority="117" operator="equal">
      <formula>"Catastrófico"</formula>
    </cfRule>
    <cfRule type="cellIs" dxfId="300" priority="118" operator="equal">
      <formula>"Mayor"</formula>
    </cfRule>
    <cfRule type="cellIs" dxfId="299" priority="119" operator="equal">
      <formula>"Moderado"</formula>
    </cfRule>
    <cfRule type="cellIs" dxfId="298" priority="120" operator="equal">
      <formula>"Menor"</formula>
    </cfRule>
    <cfRule type="cellIs" dxfId="297" priority="121" operator="equal">
      <formula>"Leve"</formula>
    </cfRule>
  </conditionalFormatting>
  <conditionalFormatting sqref="M292">
    <cfRule type="cellIs" dxfId="296" priority="103" operator="equal">
      <formula>"Catastrófico"</formula>
    </cfRule>
    <cfRule type="cellIs" dxfId="295" priority="104" operator="equal">
      <formula>"Mayor"</formula>
    </cfRule>
    <cfRule type="cellIs" dxfId="294" priority="105" operator="equal">
      <formula>"Moderado"</formula>
    </cfRule>
    <cfRule type="cellIs" dxfId="293" priority="106" operator="equal">
      <formula>"Menor"</formula>
    </cfRule>
    <cfRule type="cellIs" dxfId="292" priority="107" operator="equal">
      <formula>"Leve"</formula>
    </cfRule>
  </conditionalFormatting>
  <conditionalFormatting sqref="M295">
    <cfRule type="cellIs" dxfId="291" priority="89" operator="equal">
      <formula>"Catastrófico"</formula>
    </cfRule>
    <cfRule type="cellIs" dxfId="290" priority="90" operator="equal">
      <formula>"Mayor"</formula>
    </cfRule>
    <cfRule type="cellIs" dxfId="289" priority="91" operator="equal">
      <formula>"Moderado"</formula>
    </cfRule>
    <cfRule type="cellIs" dxfId="288" priority="92" operator="equal">
      <formula>"Menor"</formula>
    </cfRule>
    <cfRule type="cellIs" dxfId="287" priority="93" operator="equal">
      <formula>"Leve"</formula>
    </cfRule>
  </conditionalFormatting>
  <conditionalFormatting sqref="M298">
    <cfRule type="cellIs" dxfId="286" priority="75" operator="equal">
      <formula>"Catastrófico"</formula>
    </cfRule>
    <cfRule type="cellIs" dxfId="285" priority="76" operator="equal">
      <formula>"Mayor"</formula>
    </cfRule>
    <cfRule type="cellIs" dxfId="284" priority="77" operator="equal">
      <formula>"Moderado"</formula>
    </cfRule>
    <cfRule type="cellIs" dxfId="283" priority="78" operator="equal">
      <formula>"Menor"</formula>
    </cfRule>
    <cfRule type="cellIs" dxfId="282" priority="79" operator="equal">
      <formula>"Leve"</formula>
    </cfRule>
  </conditionalFormatting>
  <conditionalFormatting sqref="M301">
    <cfRule type="cellIs" dxfId="281" priority="61" operator="equal">
      <formula>"Catastrófico"</formula>
    </cfRule>
    <cfRule type="cellIs" dxfId="280" priority="62" operator="equal">
      <formula>"Mayor"</formula>
    </cfRule>
    <cfRule type="cellIs" dxfId="279" priority="63" operator="equal">
      <formula>"Moderado"</formula>
    </cfRule>
    <cfRule type="cellIs" dxfId="278" priority="64" operator="equal">
      <formula>"Menor"</formula>
    </cfRule>
    <cfRule type="cellIs" dxfId="277" priority="65" operator="equal">
      <formula>"Leve"</formula>
    </cfRule>
  </conditionalFormatting>
  <conditionalFormatting sqref="M304">
    <cfRule type="cellIs" dxfId="276" priority="47" operator="equal">
      <formula>"Catastrófico"</formula>
    </cfRule>
    <cfRule type="cellIs" dxfId="275" priority="48" operator="equal">
      <formula>"Mayor"</formula>
    </cfRule>
    <cfRule type="cellIs" dxfId="274" priority="49" operator="equal">
      <formula>"Moderado"</formula>
    </cfRule>
    <cfRule type="cellIs" dxfId="273" priority="50" operator="equal">
      <formula>"Menor"</formula>
    </cfRule>
    <cfRule type="cellIs" dxfId="272" priority="51" operator="equal">
      <formula>"Leve"</formula>
    </cfRule>
  </conditionalFormatting>
  <conditionalFormatting sqref="M308">
    <cfRule type="cellIs" dxfId="271" priority="19" operator="equal">
      <formula>"Catastrófico"</formula>
    </cfRule>
    <cfRule type="cellIs" dxfId="270" priority="20" operator="equal">
      <formula>"Mayor"</formula>
    </cfRule>
    <cfRule type="cellIs" dxfId="269" priority="21" operator="equal">
      <formula>"Moderado"</formula>
    </cfRule>
    <cfRule type="cellIs" dxfId="268" priority="22" operator="equal">
      <formula>"Menor"</formula>
    </cfRule>
    <cfRule type="cellIs" dxfId="267" priority="23" operator="equal">
      <formula>"Leve"</formula>
    </cfRule>
  </conditionalFormatting>
  <conditionalFormatting sqref="M311">
    <cfRule type="cellIs" dxfId="266" priority="33" operator="equal">
      <formula>"Catastrófico"</formula>
    </cfRule>
    <cfRule type="cellIs" dxfId="265" priority="34" operator="equal">
      <formula>"Mayor"</formula>
    </cfRule>
    <cfRule type="cellIs" dxfId="264" priority="35" operator="equal">
      <formula>"Moderado"</formula>
    </cfRule>
    <cfRule type="cellIs" dxfId="263" priority="36" operator="equal">
      <formula>"Menor"</formula>
    </cfRule>
    <cfRule type="cellIs" dxfId="262" priority="37" operator="equal">
      <formula>"Leve"</formula>
    </cfRule>
  </conditionalFormatting>
  <conditionalFormatting sqref="O8 AD8:AD314">
    <cfRule type="cellIs" dxfId="261" priority="915" operator="equal">
      <formula>"Extremo"</formula>
    </cfRule>
    <cfRule type="cellIs" dxfId="260" priority="916" operator="equal">
      <formula>"Alto"</formula>
    </cfRule>
    <cfRule type="cellIs" dxfId="259" priority="917" operator="equal">
      <formula>"Moderado"</formula>
    </cfRule>
    <cfRule type="cellIs" dxfId="258" priority="918" operator="equal">
      <formula>"Bajo"</formula>
    </cfRule>
  </conditionalFormatting>
  <conditionalFormatting sqref="O14">
    <cfRule type="cellIs" dxfId="257" priority="958" operator="equal">
      <formula>"Extremo"</formula>
    </cfRule>
    <cfRule type="cellIs" dxfId="256" priority="959" operator="equal">
      <formula>"Alto"</formula>
    </cfRule>
    <cfRule type="cellIs" dxfId="255" priority="960" operator="equal">
      <formula>"Moderado"</formula>
    </cfRule>
    <cfRule type="cellIs" dxfId="254" priority="961" operator="equal">
      <formula>"Bajo"</formula>
    </cfRule>
  </conditionalFormatting>
  <conditionalFormatting sqref="O20 O32 O36 O42 O48 O54 O60 O66 O72 O78">
    <cfRule type="cellIs" dxfId="253" priority="1331" operator="equal">
      <formula>"Extremo"</formula>
    </cfRule>
    <cfRule type="cellIs" dxfId="252" priority="1332" operator="equal">
      <formula>"Alto"</formula>
    </cfRule>
    <cfRule type="cellIs" dxfId="251" priority="1333" operator="equal">
      <formula>"Moderado"</formula>
    </cfRule>
    <cfRule type="cellIs" dxfId="250" priority="1334" operator="equal">
      <formula>"Bajo"</formula>
    </cfRule>
  </conditionalFormatting>
  <conditionalFormatting sqref="O26">
    <cfRule type="cellIs" dxfId="249" priority="868" operator="equal">
      <formula>"Extremo"</formula>
    </cfRule>
    <cfRule type="cellIs" dxfId="248" priority="869" operator="equal">
      <formula>"Alto"</formula>
    </cfRule>
    <cfRule type="cellIs" dxfId="247" priority="870" operator="equal">
      <formula>"Moderado"</formula>
    </cfRule>
    <cfRule type="cellIs" dxfId="246" priority="871" operator="equal">
      <formula>"Bajo"</formula>
    </cfRule>
  </conditionalFormatting>
  <conditionalFormatting sqref="O84">
    <cfRule type="cellIs" dxfId="245" priority="844" operator="equal">
      <formula>"Extremo"</formula>
    </cfRule>
    <cfRule type="cellIs" dxfId="244" priority="845" operator="equal">
      <formula>"Alto"</formula>
    </cfRule>
    <cfRule type="cellIs" dxfId="243" priority="846" operator="equal">
      <formula>"Moderado"</formula>
    </cfRule>
    <cfRule type="cellIs" dxfId="242" priority="847" operator="equal">
      <formula>"Bajo"</formula>
    </cfRule>
  </conditionalFormatting>
  <conditionalFormatting sqref="O89">
    <cfRule type="cellIs" dxfId="241" priority="830" operator="equal">
      <formula>"Extremo"</formula>
    </cfRule>
    <cfRule type="cellIs" dxfId="240" priority="831" operator="equal">
      <formula>"Alto"</formula>
    </cfRule>
    <cfRule type="cellIs" dxfId="239" priority="832" operator="equal">
      <formula>"Moderado"</formula>
    </cfRule>
    <cfRule type="cellIs" dxfId="238" priority="833" operator="equal">
      <formula>"Bajo"</formula>
    </cfRule>
  </conditionalFormatting>
  <conditionalFormatting sqref="O94">
    <cfRule type="cellIs" dxfId="237" priority="816" operator="equal">
      <formula>"Extremo"</formula>
    </cfRule>
    <cfRule type="cellIs" dxfId="236" priority="817" operator="equal">
      <formula>"Alto"</formula>
    </cfRule>
    <cfRule type="cellIs" dxfId="235" priority="818" operator="equal">
      <formula>"Moderado"</formula>
    </cfRule>
    <cfRule type="cellIs" dxfId="234" priority="819" operator="equal">
      <formula>"Bajo"</formula>
    </cfRule>
  </conditionalFormatting>
  <conditionalFormatting sqref="O99">
    <cfRule type="cellIs" dxfId="233" priority="802" operator="equal">
      <formula>"Extremo"</formula>
    </cfRule>
    <cfRule type="cellIs" dxfId="232" priority="803" operator="equal">
      <formula>"Alto"</formula>
    </cfRule>
    <cfRule type="cellIs" dxfId="231" priority="804" operator="equal">
      <formula>"Moderado"</formula>
    </cfRule>
    <cfRule type="cellIs" dxfId="230" priority="805" operator="equal">
      <formula>"Bajo"</formula>
    </cfRule>
  </conditionalFormatting>
  <conditionalFormatting sqref="O104">
    <cfRule type="cellIs" dxfId="229" priority="788" operator="equal">
      <formula>"Extremo"</formula>
    </cfRule>
    <cfRule type="cellIs" dxfId="228" priority="789" operator="equal">
      <formula>"Alto"</formula>
    </cfRule>
    <cfRule type="cellIs" dxfId="227" priority="790" operator="equal">
      <formula>"Moderado"</formula>
    </cfRule>
    <cfRule type="cellIs" dxfId="226" priority="791" operator="equal">
      <formula>"Bajo"</formula>
    </cfRule>
  </conditionalFormatting>
  <conditionalFormatting sqref="O110">
    <cfRule type="cellIs" dxfId="225" priority="774" operator="equal">
      <formula>"Extremo"</formula>
    </cfRule>
    <cfRule type="cellIs" dxfId="224" priority="775" operator="equal">
      <formula>"Alto"</formula>
    </cfRule>
    <cfRule type="cellIs" dxfId="223" priority="776" operator="equal">
      <formula>"Moderado"</formula>
    </cfRule>
    <cfRule type="cellIs" dxfId="222" priority="777" operator="equal">
      <formula>"Bajo"</formula>
    </cfRule>
  </conditionalFormatting>
  <conditionalFormatting sqref="O116">
    <cfRule type="cellIs" dxfId="221" priority="760" operator="equal">
      <formula>"Extremo"</formula>
    </cfRule>
    <cfRule type="cellIs" dxfId="220" priority="761" operator="equal">
      <formula>"Alto"</formula>
    </cfRule>
    <cfRule type="cellIs" dxfId="219" priority="762" operator="equal">
      <formula>"Moderado"</formula>
    </cfRule>
    <cfRule type="cellIs" dxfId="218" priority="763" operator="equal">
      <formula>"Bajo"</formula>
    </cfRule>
  </conditionalFormatting>
  <conditionalFormatting sqref="O122">
    <cfRule type="cellIs" dxfId="217" priority="746" operator="equal">
      <formula>"Extremo"</formula>
    </cfRule>
    <cfRule type="cellIs" dxfId="216" priority="747" operator="equal">
      <formula>"Alto"</formula>
    </cfRule>
    <cfRule type="cellIs" dxfId="215" priority="748" operator="equal">
      <formula>"Moderado"</formula>
    </cfRule>
    <cfRule type="cellIs" dxfId="214" priority="749" operator="equal">
      <formula>"Bajo"</formula>
    </cfRule>
  </conditionalFormatting>
  <conditionalFormatting sqref="O128">
    <cfRule type="cellIs" dxfId="213" priority="732" operator="equal">
      <formula>"Extremo"</formula>
    </cfRule>
    <cfRule type="cellIs" dxfId="212" priority="733" operator="equal">
      <formula>"Alto"</formula>
    </cfRule>
    <cfRule type="cellIs" dxfId="211" priority="734" operator="equal">
      <formula>"Moderado"</formula>
    </cfRule>
    <cfRule type="cellIs" dxfId="210" priority="735" operator="equal">
      <formula>"Bajo"</formula>
    </cfRule>
  </conditionalFormatting>
  <conditionalFormatting sqref="O134">
    <cfRule type="cellIs" dxfId="209" priority="718" operator="equal">
      <formula>"Extremo"</formula>
    </cfRule>
    <cfRule type="cellIs" dxfId="208" priority="719" operator="equal">
      <formula>"Alto"</formula>
    </cfRule>
    <cfRule type="cellIs" dxfId="207" priority="720" operator="equal">
      <formula>"Moderado"</formula>
    </cfRule>
    <cfRule type="cellIs" dxfId="206" priority="721" operator="equal">
      <formula>"Bajo"</formula>
    </cfRule>
  </conditionalFormatting>
  <conditionalFormatting sqref="O140">
    <cfRule type="cellIs" dxfId="205" priority="704" operator="equal">
      <formula>"Extremo"</formula>
    </cfRule>
    <cfRule type="cellIs" dxfId="204" priority="705" operator="equal">
      <formula>"Alto"</formula>
    </cfRule>
    <cfRule type="cellIs" dxfId="203" priority="706" operator="equal">
      <formula>"Moderado"</formula>
    </cfRule>
    <cfRule type="cellIs" dxfId="202" priority="707" operator="equal">
      <formula>"Bajo"</formula>
    </cfRule>
  </conditionalFormatting>
  <conditionalFormatting sqref="O146">
    <cfRule type="cellIs" dxfId="201" priority="690" operator="equal">
      <formula>"Extremo"</formula>
    </cfRule>
    <cfRule type="cellIs" dxfId="200" priority="691" operator="equal">
      <formula>"Alto"</formula>
    </cfRule>
    <cfRule type="cellIs" dxfId="199" priority="692" operator="equal">
      <formula>"Moderado"</formula>
    </cfRule>
    <cfRule type="cellIs" dxfId="198" priority="693" operator="equal">
      <formula>"Bajo"</formula>
    </cfRule>
  </conditionalFormatting>
  <conditionalFormatting sqref="O152">
    <cfRule type="cellIs" dxfId="197" priority="676" operator="equal">
      <formula>"Extremo"</formula>
    </cfRule>
    <cfRule type="cellIs" dxfId="196" priority="677" operator="equal">
      <formula>"Alto"</formula>
    </cfRule>
    <cfRule type="cellIs" dxfId="195" priority="678" operator="equal">
      <formula>"Moderado"</formula>
    </cfRule>
    <cfRule type="cellIs" dxfId="194" priority="679" operator="equal">
      <formula>"Bajo"</formula>
    </cfRule>
  </conditionalFormatting>
  <conditionalFormatting sqref="O158">
    <cfRule type="cellIs" dxfId="193" priority="648" operator="equal">
      <formula>"Extremo"</formula>
    </cfRule>
    <cfRule type="cellIs" dxfId="192" priority="649" operator="equal">
      <formula>"Alto"</formula>
    </cfRule>
    <cfRule type="cellIs" dxfId="191" priority="650" operator="equal">
      <formula>"Moderado"</formula>
    </cfRule>
    <cfRule type="cellIs" dxfId="190" priority="651" operator="equal">
      <formula>"Bajo"</formula>
    </cfRule>
  </conditionalFormatting>
  <conditionalFormatting sqref="O164">
    <cfRule type="cellIs" dxfId="189" priority="662" operator="equal">
      <formula>"Extremo"</formula>
    </cfRule>
    <cfRule type="cellIs" dxfId="188" priority="663" operator="equal">
      <formula>"Alto"</formula>
    </cfRule>
    <cfRule type="cellIs" dxfId="187" priority="664" operator="equal">
      <formula>"Moderado"</formula>
    </cfRule>
    <cfRule type="cellIs" dxfId="186" priority="665" operator="equal">
      <formula>"Bajo"</formula>
    </cfRule>
  </conditionalFormatting>
  <conditionalFormatting sqref="O175">
    <cfRule type="cellIs" dxfId="185" priority="634" operator="equal">
      <formula>"Extremo"</formula>
    </cfRule>
    <cfRule type="cellIs" dxfId="184" priority="635" operator="equal">
      <formula>"Alto"</formula>
    </cfRule>
    <cfRule type="cellIs" dxfId="183" priority="636" operator="equal">
      <formula>"Moderado"</formula>
    </cfRule>
    <cfRule type="cellIs" dxfId="182" priority="637" operator="equal">
      <formula>"Bajo"</formula>
    </cfRule>
  </conditionalFormatting>
  <conditionalFormatting sqref="O181">
    <cfRule type="cellIs" dxfId="181" priority="610" operator="equal">
      <formula>"Extremo"</formula>
    </cfRule>
    <cfRule type="cellIs" dxfId="180" priority="611" operator="equal">
      <formula>"Alto"</formula>
    </cfRule>
    <cfRule type="cellIs" dxfId="179" priority="612" operator="equal">
      <formula>"Moderado"</formula>
    </cfRule>
    <cfRule type="cellIs" dxfId="178" priority="613" operator="equal">
      <formula>"Bajo"</formula>
    </cfRule>
  </conditionalFormatting>
  <conditionalFormatting sqref="O186">
    <cfRule type="cellIs" dxfId="177" priority="558" operator="equal">
      <formula>"Extremo"</formula>
    </cfRule>
    <cfRule type="cellIs" dxfId="176" priority="559" operator="equal">
      <formula>"Alto"</formula>
    </cfRule>
    <cfRule type="cellIs" dxfId="175" priority="560" operator="equal">
      <formula>"Moderado"</formula>
    </cfRule>
    <cfRule type="cellIs" dxfId="174" priority="561" operator="equal">
      <formula>"Bajo"</formula>
    </cfRule>
  </conditionalFormatting>
  <conditionalFormatting sqref="O192">
    <cfRule type="cellIs" dxfId="173" priority="596" operator="equal">
      <formula>"Extremo"</formula>
    </cfRule>
    <cfRule type="cellIs" dxfId="172" priority="597" operator="equal">
      <formula>"Alto"</formula>
    </cfRule>
    <cfRule type="cellIs" dxfId="171" priority="598" operator="equal">
      <formula>"Moderado"</formula>
    </cfRule>
    <cfRule type="cellIs" dxfId="170" priority="599" operator="equal">
      <formula>"Bajo"</formula>
    </cfRule>
  </conditionalFormatting>
  <conditionalFormatting sqref="O198">
    <cfRule type="cellIs" dxfId="169" priority="582" operator="equal">
      <formula>"Extremo"</formula>
    </cfRule>
    <cfRule type="cellIs" dxfId="168" priority="583" operator="equal">
      <formula>"Alto"</formula>
    </cfRule>
    <cfRule type="cellIs" dxfId="167" priority="584" operator="equal">
      <formula>"Moderado"</formula>
    </cfRule>
    <cfRule type="cellIs" dxfId="166" priority="585" operator="equal">
      <formula>"Bajo"</formula>
    </cfRule>
  </conditionalFormatting>
  <conditionalFormatting sqref="O204">
    <cfRule type="cellIs" dxfId="165" priority="534" operator="equal">
      <formula>"Extremo"</formula>
    </cfRule>
    <cfRule type="cellIs" dxfId="164" priority="535" operator="equal">
      <formula>"Alto"</formula>
    </cfRule>
    <cfRule type="cellIs" dxfId="163" priority="536" operator="equal">
      <formula>"Moderado"</formula>
    </cfRule>
    <cfRule type="cellIs" dxfId="162" priority="537" operator="equal">
      <formula>"Bajo"</formula>
    </cfRule>
  </conditionalFormatting>
  <conditionalFormatting sqref="O207">
    <cfRule type="cellIs" dxfId="161" priority="520" operator="equal">
      <formula>"Extremo"</formula>
    </cfRule>
    <cfRule type="cellIs" dxfId="160" priority="521" operator="equal">
      <formula>"Alto"</formula>
    </cfRule>
    <cfRule type="cellIs" dxfId="159" priority="522" operator="equal">
      <formula>"Moderado"</formula>
    </cfRule>
    <cfRule type="cellIs" dxfId="158" priority="523" operator="equal">
      <formula>"Bajo"</formula>
    </cfRule>
  </conditionalFormatting>
  <conditionalFormatting sqref="O213">
    <cfRule type="cellIs" dxfId="157" priority="496" operator="equal">
      <formula>"Extremo"</formula>
    </cfRule>
    <cfRule type="cellIs" dxfId="156" priority="497" operator="equal">
      <formula>"Alto"</formula>
    </cfRule>
    <cfRule type="cellIs" dxfId="155" priority="498" operator="equal">
      <formula>"Moderado"</formula>
    </cfRule>
    <cfRule type="cellIs" dxfId="154" priority="499" operator="equal">
      <formula>"Bajo"</formula>
    </cfRule>
  </conditionalFormatting>
  <conditionalFormatting sqref="O219">
    <cfRule type="cellIs" dxfId="153" priority="482" operator="equal">
      <formula>"Extremo"</formula>
    </cfRule>
    <cfRule type="cellIs" dxfId="152" priority="483" operator="equal">
      <formula>"Alto"</formula>
    </cfRule>
    <cfRule type="cellIs" dxfId="151" priority="484" operator="equal">
      <formula>"Moderado"</formula>
    </cfRule>
    <cfRule type="cellIs" dxfId="150" priority="485" operator="equal">
      <formula>"Bajo"</formula>
    </cfRule>
  </conditionalFormatting>
  <conditionalFormatting sqref="O222">
    <cfRule type="cellIs" dxfId="149" priority="468" operator="equal">
      <formula>"Extremo"</formula>
    </cfRule>
    <cfRule type="cellIs" dxfId="148" priority="469" operator="equal">
      <formula>"Alto"</formula>
    </cfRule>
    <cfRule type="cellIs" dxfId="147" priority="470" operator="equal">
      <formula>"Moderado"</formula>
    </cfRule>
    <cfRule type="cellIs" dxfId="146" priority="471" operator="equal">
      <formula>"Bajo"</formula>
    </cfRule>
  </conditionalFormatting>
  <conditionalFormatting sqref="O226">
    <cfRule type="cellIs" dxfId="145" priority="440" operator="equal">
      <formula>"Extremo"</formula>
    </cfRule>
    <cfRule type="cellIs" dxfId="144" priority="441" operator="equal">
      <formula>"Alto"</formula>
    </cfRule>
    <cfRule type="cellIs" dxfId="143" priority="442" operator="equal">
      <formula>"Moderado"</formula>
    </cfRule>
    <cfRule type="cellIs" dxfId="142" priority="443" operator="equal">
      <formula>"Bajo"</formula>
    </cfRule>
  </conditionalFormatting>
  <conditionalFormatting sqref="O229">
    <cfRule type="cellIs" dxfId="141" priority="426" operator="equal">
      <formula>"Extremo"</formula>
    </cfRule>
    <cfRule type="cellIs" dxfId="140" priority="427" operator="equal">
      <formula>"Alto"</formula>
    </cfRule>
    <cfRule type="cellIs" dxfId="139" priority="428" operator="equal">
      <formula>"Moderado"</formula>
    </cfRule>
    <cfRule type="cellIs" dxfId="138" priority="429" operator="equal">
      <formula>"Bajo"</formula>
    </cfRule>
  </conditionalFormatting>
  <conditionalFormatting sqref="O231">
    <cfRule type="cellIs" dxfId="137" priority="412" operator="equal">
      <formula>"Extremo"</formula>
    </cfRule>
    <cfRule type="cellIs" dxfId="136" priority="413" operator="equal">
      <formula>"Alto"</formula>
    </cfRule>
    <cfRule type="cellIs" dxfId="135" priority="414" operator="equal">
      <formula>"Moderado"</formula>
    </cfRule>
    <cfRule type="cellIs" dxfId="134" priority="415" operator="equal">
      <formula>"Bajo"</formula>
    </cfRule>
  </conditionalFormatting>
  <conditionalFormatting sqref="O234">
    <cfRule type="cellIs" dxfId="133" priority="398" operator="equal">
      <formula>"Extremo"</formula>
    </cfRule>
    <cfRule type="cellIs" dxfId="132" priority="399" operator="equal">
      <formula>"Alto"</formula>
    </cfRule>
    <cfRule type="cellIs" dxfId="131" priority="400" operator="equal">
      <formula>"Moderado"</formula>
    </cfRule>
    <cfRule type="cellIs" dxfId="130" priority="401" operator="equal">
      <formula>"Bajo"</formula>
    </cfRule>
  </conditionalFormatting>
  <conditionalFormatting sqref="O238">
    <cfRule type="cellIs" dxfId="129" priority="384" operator="equal">
      <formula>"Extremo"</formula>
    </cfRule>
    <cfRule type="cellIs" dxfId="128" priority="385" operator="equal">
      <formula>"Alto"</formula>
    </cfRule>
    <cfRule type="cellIs" dxfId="127" priority="386" operator="equal">
      <formula>"Moderado"</formula>
    </cfRule>
    <cfRule type="cellIs" dxfId="126" priority="387" operator="equal">
      <formula>"Bajo"</formula>
    </cfRule>
  </conditionalFormatting>
  <conditionalFormatting sqref="O241">
    <cfRule type="cellIs" dxfId="125" priority="370" operator="equal">
      <formula>"Extremo"</formula>
    </cfRule>
    <cfRule type="cellIs" dxfId="124" priority="371" operator="equal">
      <formula>"Alto"</formula>
    </cfRule>
    <cfRule type="cellIs" dxfId="123" priority="372" operator="equal">
      <formula>"Moderado"</formula>
    </cfRule>
    <cfRule type="cellIs" dxfId="122" priority="373" operator="equal">
      <formula>"Bajo"</formula>
    </cfRule>
  </conditionalFormatting>
  <conditionalFormatting sqref="O243">
    <cfRule type="cellIs" dxfId="121" priority="356" operator="equal">
      <formula>"Extremo"</formula>
    </cfRule>
    <cfRule type="cellIs" dxfId="120" priority="357" operator="equal">
      <formula>"Alto"</formula>
    </cfRule>
    <cfRule type="cellIs" dxfId="119" priority="358" operator="equal">
      <formula>"Moderado"</formula>
    </cfRule>
    <cfRule type="cellIs" dxfId="118" priority="359" operator="equal">
      <formula>"Bajo"</formula>
    </cfRule>
  </conditionalFormatting>
  <conditionalFormatting sqref="O247">
    <cfRule type="cellIs" dxfId="117" priority="342" operator="equal">
      <formula>"Extremo"</formula>
    </cfRule>
    <cfRule type="cellIs" dxfId="116" priority="343" operator="equal">
      <formula>"Alto"</formula>
    </cfRule>
    <cfRule type="cellIs" dxfId="115" priority="344" operator="equal">
      <formula>"Moderado"</formula>
    </cfRule>
    <cfRule type="cellIs" dxfId="114" priority="345" operator="equal">
      <formula>"Bajo"</formula>
    </cfRule>
  </conditionalFormatting>
  <conditionalFormatting sqref="O250:O251">
    <cfRule type="cellIs" dxfId="113" priority="314" operator="equal">
      <formula>"Extremo"</formula>
    </cfRule>
    <cfRule type="cellIs" dxfId="112" priority="315" operator="equal">
      <formula>"Alto"</formula>
    </cfRule>
    <cfRule type="cellIs" dxfId="111" priority="316" operator="equal">
      <formula>"Moderado"</formula>
    </cfRule>
    <cfRule type="cellIs" dxfId="110" priority="317" operator="equal">
      <formula>"Bajo"</formula>
    </cfRule>
  </conditionalFormatting>
  <conditionalFormatting sqref="O254">
    <cfRule type="cellIs" dxfId="109" priority="300" operator="equal">
      <formula>"Extremo"</formula>
    </cfRule>
    <cfRule type="cellIs" dxfId="108" priority="301" operator="equal">
      <formula>"Alto"</formula>
    </cfRule>
    <cfRule type="cellIs" dxfId="107" priority="302" operator="equal">
      <formula>"Moderado"</formula>
    </cfRule>
    <cfRule type="cellIs" dxfId="106" priority="303" operator="equal">
      <formula>"Bajo"</formula>
    </cfRule>
  </conditionalFormatting>
  <conditionalFormatting sqref="O257">
    <cfRule type="cellIs" dxfId="105" priority="286" operator="equal">
      <formula>"Extremo"</formula>
    </cfRule>
    <cfRule type="cellIs" dxfId="104" priority="287" operator="equal">
      <formula>"Alto"</formula>
    </cfRule>
    <cfRule type="cellIs" dxfId="103" priority="288" operator="equal">
      <formula>"Moderado"</formula>
    </cfRule>
    <cfRule type="cellIs" dxfId="102" priority="289" operator="equal">
      <formula>"Bajo"</formula>
    </cfRule>
  </conditionalFormatting>
  <conditionalFormatting sqref="O260">
    <cfRule type="cellIs" dxfId="101" priority="272" operator="equal">
      <formula>"Extremo"</formula>
    </cfRule>
    <cfRule type="cellIs" dxfId="100" priority="273" operator="equal">
      <formula>"Alto"</formula>
    </cfRule>
    <cfRule type="cellIs" dxfId="99" priority="274" operator="equal">
      <formula>"Moderado"</formula>
    </cfRule>
    <cfRule type="cellIs" dxfId="98" priority="275" operator="equal">
      <formula>"Bajo"</formula>
    </cfRule>
  </conditionalFormatting>
  <conditionalFormatting sqref="O263:O264">
    <cfRule type="cellIs" dxfId="97" priority="244" operator="equal">
      <formula>"Extremo"</formula>
    </cfRule>
    <cfRule type="cellIs" dxfId="96" priority="245" operator="equal">
      <formula>"Alto"</formula>
    </cfRule>
    <cfRule type="cellIs" dxfId="95" priority="246" operator="equal">
      <formula>"Moderado"</formula>
    </cfRule>
    <cfRule type="cellIs" dxfId="94" priority="247" operator="equal">
      <formula>"Bajo"</formula>
    </cfRule>
  </conditionalFormatting>
  <conditionalFormatting sqref="O267">
    <cfRule type="cellIs" dxfId="93" priority="230" operator="equal">
      <formula>"Extremo"</formula>
    </cfRule>
    <cfRule type="cellIs" dxfId="92" priority="231" operator="equal">
      <formula>"Alto"</formula>
    </cfRule>
    <cfRule type="cellIs" dxfId="91" priority="232" operator="equal">
      <formula>"Moderado"</formula>
    </cfRule>
    <cfRule type="cellIs" dxfId="90" priority="233" operator="equal">
      <formula>"Bajo"</formula>
    </cfRule>
  </conditionalFormatting>
  <conditionalFormatting sqref="O269">
    <cfRule type="cellIs" dxfId="89" priority="216" operator="equal">
      <formula>"Extremo"</formula>
    </cfRule>
    <cfRule type="cellIs" dxfId="88" priority="217" operator="equal">
      <formula>"Alto"</formula>
    </cfRule>
    <cfRule type="cellIs" dxfId="87" priority="218" operator="equal">
      <formula>"Moderado"</formula>
    </cfRule>
    <cfRule type="cellIs" dxfId="86" priority="219" operator="equal">
      <formula>"Bajo"</formula>
    </cfRule>
  </conditionalFormatting>
  <conditionalFormatting sqref="O271">
    <cfRule type="cellIs" dxfId="85" priority="202" operator="equal">
      <formula>"Extremo"</formula>
    </cfRule>
    <cfRule type="cellIs" dxfId="84" priority="203" operator="equal">
      <formula>"Alto"</formula>
    </cfRule>
    <cfRule type="cellIs" dxfId="83" priority="204" operator="equal">
      <formula>"Moderado"</formula>
    </cfRule>
    <cfRule type="cellIs" dxfId="82" priority="205" operator="equal">
      <formula>"Bajo"</formula>
    </cfRule>
  </conditionalFormatting>
  <conditionalFormatting sqref="O274">
    <cfRule type="cellIs" dxfId="81" priority="188" operator="equal">
      <formula>"Extremo"</formula>
    </cfRule>
    <cfRule type="cellIs" dxfId="80" priority="189" operator="equal">
      <formula>"Alto"</formula>
    </cfRule>
    <cfRule type="cellIs" dxfId="79" priority="190" operator="equal">
      <formula>"Moderado"</formula>
    </cfRule>
    <cfRule type="cellIs" dxfId="78" priority="191" operator="equal">
      <formula>"Bajo"</formula>
    </cfRule>
  </conditionalFormatting>
  <conditionalFormatting sqref="O277">
    <cfRule type="cellIs" dxfId="77" priority="174" operator="equal">
      <formula>"Extremo"</formula>
    </cfRule>
    <cfRule type="cellIs" dxfId="76" priority="175" operator="equal">
      <formula>"Alto"</formula>
    </cfRule>
    <cfRule type="cellIs" dxfId="75" priority="176" operator="equal">
      <formula>"Moderado"</formula>
    </cfRule>
    <cfRule type="cellIs" dxfId="74" priority="177" operator="equal">
      <formula>"Bajo"</formula>
    </cfRule>
  </conditionalFormatting>
  <conditionalFormatting sqref="O280">
    <cfRule type="cellIs" dxfId="73" priority="1" operator="equal">
      <formula>"Extremo"</formula>
    </cfRule>
    <cfRule type="cellIs" dxfId="72" priority="2" operator="equal">
      <formula>"Alto"</formula>
    </cfRule>
    <cfRule type="cellIs" dxfId="71" priority="3" operator="equal">
      <formula>"Moderado"</formula>
    </cfRule>
    <cfRule type="cellIs" dxfId="70" priority="4" operator="equal">
      <formula>"Bajo"</formula>
    </cfRule>
  </conditionalFormatting>
  <conditionalFormatting sqref="O283">
    <cfRule type="cellIs" dxfId="69" priority="160" operator="equal">
      <formula>"Extremo"</formula>
    </cfRule>
    <cfRule type="cellIs" dxfId="68" priority="161" operator="equal">
      <formula>"Alto"</formula>
    </cfRule>
    <cfRule type="cellIs" dxfId="67" priority="162" operator="equal">
      <formula>"Moderado"</formula>
    </cfRule>
    <cfRule type="cellIs" dxfId="66" priority="163" operator="equal">
      <formula>"Bajo"</formula>
    </cfRule>
  </conditionalFormatting>
  <conditionalFormatting sqref="O286">
    <cfRule type="cellIs" dxfId="65" priority="146" operator="equal">
      <formula>"Extremo"</formula>
    </cfRule>
    <cfRule type="cellIs" dxfId="64" priority="147" operator="equal">
      <formula>"Alto"</formula>
    </cfRule>
    <cfRule type="cellIs" dxfId="63" priority="148" operator="equal">
      <formula>"Moderado"</formula>
    </cfRule>
    <cfRule type="cellIs" dxfId="62" priority="149" operator="equal">
      <formula>"Bajo"</formula>
    </cfRule>
  </conditionalFormatting>
  <conditionalFormatting sqref="O289">
    <cfRule type="cellIs" dxfId="61" priority="113" operator="equal">
      <formula>"Extremo"</formula>
    </cfRule>
    <cfRule type="cellIs" dxfId="60" priority="114" operator="equal">
      <formula>"Alto"</formula>
    </cfRule>
    <cfRule type="cellIs" dxfId="59" priority="115" operator="equal">
      <formula>"Moderado"</formula>
    </cfRule>
    <cfRule type="cellIs" dxfId="58" priority="116" operator="equal">
      <formula>"Bajo"</formula>
    </cfRule>
  </conditionalFormatting>
  <conditionalFormatting sqref="O292">
    <cfRule type="cellIs" dxfId="57" priority="99" operator="equal">
      <formula>"Extremo"</formula>
    </cfRule>
    <cfRule type="cellIs" dxfId="56" priority="100" operator="equal">
      <formula>"Alto"</formula>
    </cfRule>
    <cfRule type="cellIs" dxfId="55" priority="101" operator="equal">
      <formula>"Moderado"</formula>
    </cfRule>
    <cfRule type="cellIs" dxfId="54" priority="102" operator="equal">
      <formula>"Bajo"</formula>
    </cfRule>
  </conditionalFormatting>
  <conditionalFormatting sqref="O295">
    <cfRule type="cellIs" dxfId="53" priority="85" operator="equal">
      <formula>"Extremo"</formula>
    </cfRule>
    <cfRule type="cellIs" dxfId="52" priority="86" operator="equal">
      <formula>"Alto"</formula>
    </cfRule>
    <cfRule type="cellIs" dxfId="51" priority="87" operator="equal">
      <formula>"Moderado"</formula>
    </cfRule>
    <cfRule type="cellIs" dxfId="50" priority="88" operator="equal">
      <formula>"Bajo"</formula>
    </cfRule>
  </conditionalFormatting>
  <conditionalFormatting sqref="O298">
    <cfRule type="cellIs" dxfId="49" priority="71" operator="equal">
      <formula>"Extremo"</formula>
    </cfRule>
    <cfRule type="cellIs" dxfId="48" priority="72" operator="equal">
      <formula>"Alto"</formula>
    </cfRule>
    <cfRule type="cellIs" dxfId="47" priority="73" operator="equal">
      <formula>"Moderado"</formula>
    </cfRule>
    <cfRule type="cellIs" dxfId="46" priority="74" operator="equal">
      <formula>"Bajo"</formula>
    </cfRule>
  </conditionalFormatting>
  <conditionalFormatting sqref="O301">
    <cfRule type="cellIs" dxfId="45" priority="57" operator="equal">
      <formula>"Extremo"</formula>
    </cfRule>
    <cfRule type="cellIs" dxfId="44" priority="58" operator="equal">
      <formula>"Alto"</formula>
    </cfRule>
    <cfRule type="cellIs" dxfId="43" priority="59" operator="equal">
      <formula>"Moderado"</formula>
    </cfRule>
    <cfRule type="cellIs" dxfId="42" priority="60" operator="equal">
      <formula>"Bajo"</formula>
    </cfRule>
  </conditionalFormatting>
  <conditionalFormatting sqref="O304">
    <cfRule type="cellIs" dxfId="41" priority="43" operator="equal">
      <formula>"Extremo"</formula>
    </cfRule>
    <cfRule type="cellIs" dxfId="40" priority="44" operator="equal">
      <formula>"Alto"</formula>
    </cfRule>
    <cfRule type="cellIs" dxfId="39" priority="45" operator="equal">
      <formula>"Moderado"</formula>
    </cfRule>
    <cfRule type="cellIs" dxfId="38" priority="46" operator="equal">
      <formula>"Bajo"</formula>
    </cfRule>
  </conditionalFormatting>
  <conditionalFormatting sqref="O308">
    <cfRule type="cellIs" dxfId="37" priority="15" operator="equal">
      <formula>"Extremo"</formula>
    </cfRule>
    <cfRule type="cellIs" dxfId="36" priority="16" operator="equal">
      <formula>"Alto"</formula>
    </cfRule>
    <cfRule type="cellIs" dxfId="35" priority="17" operator="equal">
      <formula>"Moderado"</formula>
    </cfRule>
    <cfRule type="cellIs" dxfId="34" priority="18" operator="equal">
      <formula>"Bajo"</formula>
    </cfRule>
  </conditionalFormatting>
  <conditionalFormatting sqref="O311">
    <cfRule type="cellIs" dxfId="33" priority="29" operator="equal">
      <formula>"Extremo"</formula>
    </cfRule>
    <cfRule type="cellIs" dxfId="32" priority="30" operator="equal">
      <formula>"Alto"</formula>
    </cfRule>
    <cfRule type="cellIs" dxfId="31" priority="31" operator="equal">
      <formula>"Moderado"</formula>
    </cfRule>
    <cfRule type="cellIs" dxfId="30" priority="32" operator="equal">
      <formula>"Bajo"</formula>
    </cfRule>
  </conditionalFormatting>
  <conditionalFormatting sqref="Z8:Z28 Z36:Z38 Z114:Z314">
    <cfRule type="cellIs" dxfId="29" priority="890" operator="equal">
      <formula>"Casi Seguro"</formula>
    </cfRule>
    <cfRule type="cellIs" dxfId="28" priority="891" operator="equal">
      <formula>"Probable"</formula>
    </cfRule>
    <cfRule type="cellIs" dxfId="27" priority="892" operator="equal">
      <formula>"Posible"</formula>
    </cfRule>
    <cfRule type="cellIs" dxfId="26" priority="893" operator="equal">
      <formula>"Improbable"</formula>
    </cfRule>
    <cfRule type="cellIs" dxfId="25" priority="894" operator="equal">
      <formula>"Rara vez"</formula>
    </cfRule>
    <cfRule type="cellIs" dxfId="24" priority="910" operator="equal">
      <formula>"Muy Alta"</formula>
    </cfRule>
    <cfRule type="cellIs" dxfId="23" priority="911" operator="equal">
      <formula>"Alta"</formula>
    </cfRule>
    <cfRule type="cellIs" dxfId="22" priority="912" operator="equal">
      <formula>"Media"</formula>
    </cfRule>
    <cfRule type="cellIs" dxfId="21" priority="913" operator="equal">
      <formula>"Baja"</formula>
    </cfRule>
    <cfRule type="cellIs" dxfId="20" priority="914" operator="equal">
      <formula>"Muy Baja"</formula>
    </cfRule>
  </conditionalFormatting>
  <conditionalFormatting sqref="Z30:Z34">
    <cfRule type="cellIs" dxfId="19" priority="858" operator="equal">
      <formula>"Casi Seguro"</formula>
    </cfRule>
    <cfRule type="cellIs" dxfId="18" priority="859" operator="equal">
      <formula>"Probable"</formula>
    </cfRule>
    <cfRule type="cellIs" dxfId="17" priority="860" operator="equal">
      <formula>"Posible"</formula>
    </cfRule>
    <cfRule type="cellIs" dxfId="16" priority="861" operator="equal">
      <formula>"Improbable"</formula>
    </cfRule>
    <cfRule type="cellIs" dxfId="15" priority="862" operator="equal">
      <formula>"Rara vez"</formula>
    </cfRule>
    <cfRule type="cellIs" dxfId="14" priority="863" operator="equal">
      <formula>"Muy Alta"</formula>
    </cfRule>
    <cfRule type="cellIs" dxfId="13" priority="864" operator="equal">
      <formula>"Alta"</formula>
    </cfRule>
    <cfRule type="cellIs" dxfId="12" priority="865" operator="equal">
      <formula>"Media"</formula>
    </cfRule>
    <cfRule type="cellIs" dxfId="11" priority="866" operator="equal">
      <formula>"Baja"</formula>
    </cfRule>
    <cfRule type="cellIs" dxfId="10" priority="867" operator="equal">
      <formula>"Muy Baja"</formula>
    </cfRule>
  </conditionalFormatting>
  <conditionalFormatting sqref="Z40:Z44 Z46:Z50 Z52:Z56 Z58:Z62 Z64:Z68 Z70:Z74 Z76:Z80 Z82:Z106 Z108:Z112">
    <cfRule type="cellIs" dxfId="9" priority="1012" operator="equal">
      <formula>"Casi Seguro"</formula>
    </cfRule>
    <cfRule type="cellIs" dxfId="8" priority="1013" operator="equal">
      <formula>"Probable"</formula>
    </cfRule>
    <cfRule type="cellIs" dxfId="7" priority="1014" operator="equal">
      <formula>"Posible"</formula>
    </cfRule>
    <cfRule type="cellIs" dxfId="6" priority="1015" operator="equal">
      <formula>"Improbable"</formula>
    </cfRule>
    <cfRule type="cellIs" dxfId="5" priority="1016" operator="equal">
      <formula>"Rara vez"</formula>
    </cfRule>
    <cfRule type="cellIs" dxfId="4" priority="1326" operator="equal">
      <formula>"Muy Alta"</formula>
    </cfRule>
    <cfRule type="cellIs" dxfId="3" priority="1327" operator="equal">
      <formula>"Alta"</formula>
    </cfRule>
    <cfRule type="cellIs" dxfId="2" priority="1328" operator="equal">
      <formula>"Media"</formula>
    </cfRule>
    <cfRule type="cellIs" dxfId="1" priority="1329" operator="equal">
      <formula>"Baja"</formula>
    </cfRule>
    <cfRule type="cellIs" dxfId="0" priority="1330" operator="equal">
      <formula>"Muy Baja"</formula>
    </cfRule>
  </conditionalFormatting>
  <pageMargins left="0.7" right="0.7" top="0.75" bottom="0.75" header="0.3" footer="0.3"/>
  <pageSetup orientation="portrait" r:id="rId1"/>
  <ignoredErrors>
    <ignoredError sqref="AC22" formula="1"/>
  </ignoredErrors>
  <drawing r:id="rId2"/>
  <extLst>
    <ext xmlns:x14="http://schemas.microsoft.com/office/spreadsheetml/2009/9/main" uri="{CCE6A557-97BC-4b89-ADB6-D9C93CAAB3DF}">
      <x14:dataValidations xmlns:xm="http://schemas.microsoft.com/office/excel/2006/main" count="20">
        <x14:dataValidation type="list" allowBlank="1" showInputMessage="1" showErrorMessage="1" xr:uid="{DF0F460F-1086-4F91-AB26-D5DAD545C21C}">
          <x14:formula1>
            <xm:f>'Opciones Tratamiento'!$B$9:$B$10</xm:f>
          </x14:formula1>
          <xm:sqref>AK20:AK24 AK14:AK18 AK8:AK12 AK76 AK72:AK74 AK32:AK40 AK70 AK42:AK46 AK26:AK30 AK48:AK52 AK54:AK56 AK58 AK60:AK62 AK64 AK66:AK68 AK82 AK78:AK80 AK84:AK87 AK89:AK92 AK94:AK97 AK99:AK102 AK108 AK104:AK106 AK114 AK110:AK112 AK120 AK116:AK118 AK126 AK122:AK124 AK132 AK128:AK130 AK134:AK136 AK140:AK142 AK146:AK148 AK152 AK154 AK164:AK166 AK158:AK160 AK175:AK177 AK181 AK183:AK184 AK192:AK194 AK198:AK200 AK186:AK188 AK204:AK209 AK213:AK215 AK219:AK224 AK238:AK245 AK226:AK236 AK308:AK313 AK247:AK306</xm:sqref>
        </x14:dataValidation>
        <x14:dataValidation type="custom" allowBlank="1" showInputMessage="1" showErrorMessage="1" error="Recuerde que las acciones se generan bajo la medida de mitigar el riesgo" xr:uid="{03D46F57-5F24-4CA2-AB57-352C44BF5595}">
          <x14:formula1>
            <xm:f>IF(OR(AE8='Opciones Tratamiento'!$B$2,AE8='Opciones Tratamiento'!$B$3,AE8='Opciones Tratamiento'!$B$4),ISBLANK(AE8),ISTEXT(AE8))</xm:f>
          </x14:formula1>
          <xm:sqref>AI31:AI56 AI58:AI62 AI64:AI68 AI8:AI29 AI70:AI74 AI76:AI80 AI82:AI106 AI108:AI112 AI114:AI118 AI120:AI124 AI126 AI132 AI128:AI130 AI134:AI136 AI140:AI142 AI146:AI148 AI154 AI152 AI158:AI160 AI164:AI166 AI175:AI177 AI181 AI198:AI200 AI192:AI194 AI183:AI188 AI204:AI209 AI213:AI215 AI219:AI224 AI238:AI245 AI226:AI236 AI308:AI314 AI247:AI306</xm:sqref>
        </x14:dataValidation>
        <x14:dataValidation type="custom" allowBlank="1" showInputMessage="1" showErrorMessage="1" error="Recuerde que las acciones se generan bajo la medida de mitigar el riesgo" xr:uid="{D9E82BA6-7097-47EC-AF56-C0FFFC6B2ABF}">
          <x14:formula1>
            <xm:f>IF(OR(AE8='Opciones Tratamiento'!$B$2,AE8='Opciones Tratamiento'!$B$3,AE8='Opciones Tratamiento'!$B$4),ISBLANK(AE8),ISTEXT(AE8))</xm:f>
          </x14:formula1>
          <xm:sqref>AJ31:AJ56 AJ58:AJ62 AJ64:AJ68 AJ8:AJ29 AJ70:AJ74 AJ76:AJ80 AJ82:AJ106 AJ108:AJ112 AJ114:AJ118 AJ120:AJ124 AJ126:AJ130 AJ132:AJ136 AJ139:AJ142 AJ145:AJ148 AJ154 AJ151:AJ152 AJ163:AJ166 AJ157:AJ160 AJ174:AJ177 AJ180:AJ181 AJ191:AJ194 AJ183:AJ188 AJ198:AJ200 AJ212:AJ215 AJ218:AJ224 AJ238:AJ245 AJ226:AJ236 AJ204:AJ209 AJ308:AJ314 AJ247:AJ306</xm:sqref>
        </x14:dataValidation>
        <x14:dataValidation type="list" allowBlank="1" showInputMessage="1" showErrorMessage="1" xr:uid="{CB47D8ED-7A0A-49E8-8E2E-4F41B5066CEC}">
          <x14:formula1>
            <xm:f>'Tabla Valoración controles'!$D$5:$D$6</xm:f>
          </x14:formula1>
          <xm:sqref>S8:S9 S18:S21 S12:S14 S36:S38 S44 S40:S42 S46:S48 S50 S52:S56 S24:S29 S31:S34 S58:S73 S75:S79 S82:S85 S87:S90 S92:S95 S97:S99 S102:S106 S108:S112 S114:S117 S163:S168 S137:S141 S143:S148 S150:S154 S156:S161 S308:S309 S173 S120:S135 S175:S181 S170 S191:S196 S204:S205 S184:S189 S207:S216 S218:S220 S222:S224 S226:S227 S229:S232 S234:S236 S238:S239 S241:S245 S247:S248 S250:S252 S254:S255 S257:S258 S260:S261 S263:S272 S274:S275 S277:S278 S292:S296 S284 S286:S287 S289:S290 S298:S302 S304:S306 S311:S312 S314 S198:S202 S280:S282</xm:sqref>
        </x14:dataValidation>
        <x14:dataValidation type="list" allowBlank="1" showInputMessage="1" showErrorMessage="1" xr:uid="{AD74B313-ABEC-4255-9CEC-9BE69E15A6E5}">
          <x14:formula1>
            <xm:f>'Tabla Valoración controles'!$D$5:$D$7</xm:f>
          </x14:formula1>
          <xm:sqref>S23 S17 S11</xm:sqref>
        </x14:dataValidation>
        <x14:dataValidation type="custom" allowBlank="1" showInputMessage="1" showErrorMessage="1" error="Recuerde que las acciones se generan bajo la medida de mitigar el riesgo" xr:uid="{440F3A7F-5E10-439E-B38F-4C20B5C13D56}">
          <x14:formula1>
            <xm:f>IF(OR(AE9='Opciones Tratamiento'!$B$2,AE9='Opciones Tratamiento'!$B$3,AE9='Opciones Tratamiento'!$B$4),ISBLANK(AE9),ISTEXT(AE9))</xm:f>
          </x14:formula1>
          <xm:sqref>AF9 AF21 AF17:AF19 AF15 AF11:AF13 AF67 AF33 AF37 AF39:AF41 AF43 AF45:AF47 AF49 AF51:AF53 AF55 AF58:AF59 AF61 AF64:AF65 AF35 AF23:AF25 AF27 AF29 AF31 AF70:AF71 AF73 AF76:AF77 AF79 AF82:AF83 AF85 AF87:AF88 AF90 AF92:AF93 AF95 AF97:AF98 AF100 AF102:AF103 AF105 AF108:AF109 AF111 AF114:AF115 AF117 AF120:AF121 AF123 AF126 AF132 AF129 AF135 AF141 AF147 AF159 AF165 AF176 AF199 AF193 AF187 AF184:AF185 AF205 AF208 AF214 AF220 AF223 AF227 AF230 AF232 AF235 AF239 AF242 AF244 AF248 AF252 AF255 AF258 AF261 AF265 AF268 AF270 AF272 AF275 AF278 AF296 AF284 AF287 AF290 AF293 AF299 AF302 AF305 AF312 AF314 AF309 AF281</xm:sqref>
        </x14:dataValidation>
        <x14:dataValidation type="custom" allowBlank="1" showInputMessage="1" showErrorMessage="1" error="Recuerde que las acciones se generan bajo la medida de mitigar el riesgo" xr:uid="{9D04D040-91BA-4762-86F5-6D08FAF247DB}">
          <x14:formula1>
            <xm:f>IF(OR(AE10='Opciones Tratamiento'!$B$2,AE10='Opciones Tratamiento'!$B$3,AE10='Opciones Tratamiento'!$B$4),ISBLANK(AE10),ISTEXT(AE10))</xm:f>
          </x14:formula1>
          <xm:sqref>AF20 AF14 AF8 AF32 AF36 AF42 AF48 AF54 AF60 AF66 AF26 AF72 AF78 AF84 AF89 AF94 AF99 AF104 AF110 AF116 AF122 AF128 AF134 AF140 AF146 AF152 AF164 AF158 AF175 AF181 AF192 AF198 AF186 AF204 AF207 AF213 AF219 AF222 AF226 AF231 AF234 AF238 AF243 AF247 AF251 AF254 AF257 AF260 AF264 AF271 AF274 AF277 AF283 AF286 AF289 AF292 AF295 AF298 AF301 AF304 AF311 AF308 AF280</xm:sqref>
        </x14:dataValidation>
        <x14:dataValidation type="custom" allowBlank="1" showInputMessage="1" showErrorMessage="1" error="Recuerde que las acciones se generan bajo la medida de mitigar el riesgo" xr:uid="{F563EC24-E413-4EFA-BDFC-CF05B8B4EE23}">
          <x14:formula1>
            <xm:f>IF(OR(AE9='Opciones Tratamiento'!$B$2,AE9='Opciones Tratamiento'!$B$3,AE9='Opciones Tratamiento'!$B$4),ISBLANK(AE9),ISTEXT(AE9))</xm:f>
          </x14:formula1>
          <xm:sqref>AG9 AG21 AG17:AG19 AG15 AG11:AG13 AG67 AG33 AG37 AG39:AG41 AG43 AG45:AG47 AG49 AG51:AG53 AG55 AG58:AG59 AG61 AG64:AG65 AG35 AG23:AG25 AG27 AG29 AG31 AG70:AG71 AG73 AG76:AG77 AG79 AG82:AG83 AG85 AG87:AG88 AG90 AG92:AG93 AG95 AG97:AG98 AG100 AG102:AG103 AG105 AG108:AG109 AG111 AG114:AG115 AG117 AG120:AG121 AG123 AG126 AG132 AG129 AG135 AG141 AG147 AG159 AG165 AG176 AG199 AG193 AG187 AG184:AG185 AG205 AG208 AG214 AG220 AG223 AG227 AG230 AG232 AG235 AG239 AG242 AG244 AG248 AG252 AG255 AG258 AG261 AG265 AG268 AG270 AG272 AG275 AG278 AG296 AG284 AG287 AG290 AG293 AG299 AG302 AG305 AG312 AG314 AG309 AG281</xm:sqref>
        </x14:dataValidation>
        <x14:dataValidation type="custom" allowBlank="1" showInputMessage="1" showErrorMessage="1" error="Recuerde que las acciones se generan bajo la medida de mitigar el riesgo" xr:uid="{7627ED66-6035-4B60-9641-7F9A738750AD}">
          <x14:formula1>
            <xm:f>IF(OR(AE10='Opciones Tratamiento'!$B$2,AE10='Opciones Tratamiento'!$B$3,AE10='Opciones Tratamiento'!$B$4),ISBLANK(AE10),ISTEXT(AE10))</xm:f>
          </x14:formula1>
          <xm:sqref>AG20 AG14 AG8 AG32 AG36 AG42 AG48 AG54 AG60 AG66 AG26 AG72 AG78 AG84 AG89 AG94 AG99 AG104 AG110 AG116 AG122 AG128 AG134 AG140 AG146 AG152 AG164 AG158 AG175 AG181 AG192 AG198 AG186 AG204 AG207 AG213 AG219 AG222 AG226 AG231 AG234 AG238 AG243 AG247 AG251 AG254 AG257 AG260 AG264 AG271 AG274 AG277 AG283 AG286 AG289 AG292 AG295 AG298 AG301 AG304 AG311 AG308 AG280</xm:sqref>
        </x14:dataValidation>
        <x14:dataValidation type="custom" allowBlank="1" showInputMessage="1" showErrorMessage="1" error="Recuerde que las acciones se generan bajo la medida de mitigar el riesgo" xr:uid="{FA801F2A-F2F3-4ECD-AEB2-A59DBB835C97}">
          <x14:formula1>
            <xm:f>IF(OR(AE9='Opciones Tratamiento'!$B$2,AE9='Opciones Tratamiento'!$B$3,AE9='Opciones Tratamiento'!$B$4),ISBLANK(AE9),ISTEXT(AE9))</xm:f>
          </x14:formula1>
          <xm:sqref>AH9 AH21 AH17:AH19 AH15 AH11:AH13 AH67 AH33 AH37 AH39:AH41 AH43 AH45:AH47 AH49 AH51:AH53 AH55 AH58:AH59 AH61 AH64:AH65 AH35 AH23:AH25 AH27 AH29 AH31 AH70:AH71 AH73 AH76:AH77 AH79 AH82:AH83 AH85 AH87:AH88 AH90 AH92:AH93 AH95 AH97:AH98 AH100 AH102:AH103 AH105 AH108:AH109 AH111 AH114:AH115 AH117 AH120:AH121 AH123 AH126 AH132 AH129 AH135 AH141 AH147 AH159 AH165 AH176 AH199 AH193 AH187 AH184:AH185 AH205 AH208 AH214 AH220 AH223 AH227 AH230 AH232 AH235 AH239 AH242 AH244 AH248 AH252 AH255 AH258 AH261 AH265 AH268 AH270 AH272 AH275 AH278 AH296 AH284 AH287 AH290 AH293 AH299 AH302 AH305 AH312 AH314 AH309 AH281</xm:sqref>
        </x14:dataValidation>
        <x14:dataValidation type="custom" allowBlank="1" showInputMessage="1" showErrorMessage="1" error="Recuerde que las acciones se generan bajo la medida de mitigar el riesgo" xr:uid="{1495F488-595A-40BC-92D5-D7A72E74D00D}">
          <x14:formula1>
            <xm:f>IF(OR(AE10='Opciones Tratamiento'!$B$2,AE10='Opciones Tratamiento'!$B$3,AE10='Opciones Tratamiento'!$B$4),ISBLANK(AE10),ISTEXT(AE10))</xm:f>
          </x14:formula1>
          <xm:sqref>AH20 AH14 AH8 AH32 AH36 AH42 AH48 AH54 AH60 AH66 AH26 AH72 AH78 AH84 AH89 AH94 AH99 AH104 AH110 AH116 AH122 AH128 AH134 AH140 AH146 AH152 AH164 AH158 AH175 AH181 AH192 AH198 AH186 AH204 AH207 AH213 AH219 AH222 AH226 AH231 AH234 AH238 AH243 AH247 AH251 AH254 AH257 AH260 AH264 AH271 AH274 AH277 AH283 AH286 AH289 AH292 AH295 AH298 AH301 AH304 AH311 AH308 AH280</xm:sqref>
        </x14:dataValidation>
        <x14:dataValidation type="list" allowBlank="1" showInputMessage="1" showErrorMessage="1" xr:uid="{B8E99975-C9B1-4A35-8BDE-B31A4CA791AD}">
          <x14:formula1>
            <xm:f>Hoja1!$D$3:$D$19</xm:f>
          </x14:formula1>
          <xm:sqref>C8:C104 C110 C295 C116 C122 C128 C134 C140 C146 C152 C164 C158 C175 C198 C181:C186 C192 C204 C207 C213 C219 C222 C226 C229 C231 C234 C238 C241 C243 C247 C250:C251 C254 C257 C260 C263:C264 C267 C269 C271 C274 C277 C283 C286 C289 C292 C298 C301 C304 C311 C314 C308 C280</xm:sqref>
        </x14:dataValidation>
        <x14:dataValidation type="custom" allowBlank="1" showInputMessage="1" showErrorMessage="1" error="Recuerde que las acciones se generan bajo la medida de mitigar el riesgo" xr:uid="{353EF5DF-C1CB-4363-8EC4-0EA89ED34DDF}">
          <x14:formula1>
            <xm:f>IF(OR(#REF!='Opciones Tratamiento'!$B$2,#REF!='Opciones Tratamiento'!$B$3,#REF!='Opciones Tratamiento'!$B$4),ISBLANK(#REF!),ISTEXT(#REF!))</xm:f>
          </x14:formula1>
          <xm:sqref>AF229:AH229 AF241:AH241 AF250:AH250 AF263:AH263 AF267:AH267 AF269:AH269</xm:sqref>
        </x14:dataValidation>
        <x14:dataValidation type="list" allowBlank="1" showInputMessage="1" showErrorMessage="1" xr:uid="{BBD37505-728B-4358-93ED-02EBEE137B7D}">
          <x14:formula1>
            <xm:f>'Tabla Valoración controles'!$D$8:$D$9</xm:f>
          </x14:formula1>
          <xm:sqref>T288:T314 T8:T286</xm:sqref>
        </x14:dataValidation>
        <x14:dataValidation type="list" allowBlank="1" showInputMessage="1" showErrorMessage="1" xr:uid="{22A4928C-6409-426D-B3E8-567B64A3CB13}">
          <x14:formula1>
            <xm:f>'Tabla Valoración controles'!$D$10:$D$11</xm:f>
          </x14:formula1>
          <xm:sqref>V288:V314 V8:V286</xm:sqref>
        </x14:dataValidation>
        <x14:dataValidation type="list" allowBlank="1" showInputMessage="1" showErrorMessage="1" xr:uid="{F0E52E48-D052-4E0F-B550-BB72326B4AF4}">
          <x14:formula1>
            <xm:f>'Tabla Valoración controles'!$D$12:$D$13</xm:f>
          </x14:formula1>
          <xm:sqref>W288:W314 W8:W286</xm:sqref>
        </x14:dataValidation>
        <x14:dataValidation type="list" allowBlank="1" showInputMessage="1" showErrorMessage="1" xr:uid="{409B6879-F293-4835-9472-63C808BCCE72}">
          <x14:formula1>
            <xm:f>'Tabla Valoración controles'!$D$14:$D$15</xm:f>
          </x14:formula1>
          <xm:sqref>X288:X314 X8:X286</xm:sqref>
        </x14:dataValidation>
        <x14:dataValidation type="list" allowBlank="1" showInputMessage="1" showErrorMessage="1" xr:uid="{6B352154-8680-4CA9-8DA1-6409317F1E0E}">
          <x14:formula1>
            <xm:f>'Opciones Tratamiento'!$B$3:$B$5</xm:f>
          </x14:formula1>
          <xm:sqref>AE288:AE314 AE8:AE286</xm:sqref>
        </x14:dataValidation>
        <x14:dataValidation type="list" allowBlank="1" showInputMessage="1" showErrorMessage="1" xr:uid="{EB3C8332-32AD-4616-96D1-2E078C3855A6}">
          <x14:formula1>
            <xm:f>Hoja1!$I$3:$I$7</xm:f>
          </x14:formula1>
          <xm:sqref>H8:H314</xm:sqref>
        </x14:dataValidation>
        <x14:dataValidation type="list" allowBlank="1" showInputMessage="1" showErrorMessage="1" xr:uid="{09A26146-8950-47B6-A0C3-947971265947}">
          <x14:formula1>
            <xm:f>'Tabla Impacto'!$C$5:$C$7</xm:f>
          </x14:formula1>
          <xm:sqref>K8:K314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16ACC-786F-421A-80C2-AABB581C884E}">
  <dimension ref="G3:G8"/>
  <sheetViews>
    <sheetView workbookViewId="0">
      <selection activeCell="G3" sqref="G3:G8"/>
    </sheetView>
  </sheetViews>
  <sheetFormatPr baseColWidth="10" defaultColWidth="9.140625" defaultRowHeight="15" x14ac:dyDescent="0.25"/>
  <cols>
    <col min="7" max="7" width="51.5703125" customWidth="1"/>
  </cols>
  <sheetData>
    <row r="3" spans="7:7" x14ac:dyDescent="0.25">
      <c r="G3" s="358" t="s">
        <v>636</v>
      </c>
    </row>
    <row r="4" spans="7:7" x14ac:dyDescent="0.25">
      <c r="G4" s="358"/>
    </row>
    <row r="5" spans="7:7" x14ac:dyDescent="0.25">
      <c r="G5" s="358"/>
    </row>
    <row r="6" spans="7:7" x14ac:dyDescent="0.25">
      <c r="G6" s="358"/>
    </row>
    <row r="7" spans="7:7" x14ac:dyDescent="0.25">
      <c r="G7" s="358"/>
    </row>
    <row r="8" spans="7:7" x14ac:dyDescent="0.25">
      <c r="G8" s="358"/>
    </row>
  </sheetData>
  <mergeCells count="1">
    <mergeCell ref="G3:G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E38" sqref="E38:I45"/>
    </sheetView>
  </sheetViews>
  <sheetFormatPr baseColWidth="10" defaultColWidth="11.42578125" defaultRowHeight="15" x14ac:dyDescent="0.25"/>
  <cols>
    <col min="2" max="39" width="5.7109375" customWidth="1"/>
    <col min="41" max="46" width="5.7109375" customWidth="1"/>
  </cols>
  <sheetData>
    <row r="1" spans="1:99" x14ac:dyDescent="0.25">
      <c r="A1" s="40"/>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c r="BX1" s="40"/>
      <c r="BY1" s="40"/>
      <c r="BZ1" s="40"/>
      <c r="CA1" s="40"/>
      <c r="CB1" s="40"/>
      <c r="CC1" s="40"/>
      <c r="CD1" s="40"/>
      <c r="CE1" s="40"/>
      <c r="CF1" s="40"/>
      <c r="CG1" s="40"/>
      <c r="CH1" s="40"/>
      <c r="CI1" s="40"/>
      <c r="CJ1" s="40"/>
      <c r="CK1" s="40"/>
      <c r="CL1" s="40"/>
      <c r="CM1" s="40"/>
      <c r="CN1" s="40"/>
      <c r="CO1" s="40"/>
      <c r="CP1" s="40"/>
      <c r="CQ1" s="40"/>
      <c r="CR1" s="40"/>
      <c r="CS1" s="40"/>
      <c r="CT1" s="40"/>
      <c r="CU1" s="40"/>
    </row>
    <row r="2" spans="1:99" ht="18" customHeight="1" x14ac:dyDescent="0.25">
      <c r="A2" s="40"/>
      <c r="B2" s="444" t="s">
        <v>637</v>
      </c>
      <c r="C2" s="444"/>
      <c r="D2" s="444"/>
      <c r="E2" s="444"/>
      <c r="F2" s="444"/>
      <c r="G2" s="444"/>
      <c r="H2" s="444"/>
      <c r="I2" s="444"/>
      <c r="J2" s="412" t="s">
        <v>136</v>
      </c>
      <c r="K2" s="412"/>
      <c r="L2" s="412"/>
      <c r="M2" s="412"/>
      <c r="N2" s="412"/>
      <c r="O2" s="412"/>
      <c r="P2" s="412"/>
      <c r="Q2" s="412"/>
      <c r="R2" s="412"/>
      <c r="S2" s="412"/>
      <c r="T2" s="412"/>
      <c r="U2" s="412"/>
      <c r="V2" s="412"/>
      <c r="W2" s="412"/>
      <c r="X2" s="412"/>
      <c r="Y2" s="412"/>
      <c r="Z2" s="412"/>
      <c r="AA2" s="412"/>
      <c r="AB2" s="412"/>
      <c r="AC2" s="412"/>
      <c r="AD2" s="412"/>
      <c r="AE2" s="412"/>
      <c r="AF2" s="412"/>
      <c r="AG2" s="412"/>
      <c r="AH2" s="412"/>
      <c r="AI2" s="412"/>
      <c r="AJ2" s="412"/>
      <c r="AK2" s="412"/>
      <c r="AL2" s="412"/>
      <c r="AM2" s="412"/>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c r="CN2" s="40"/>
      <c r="CO2" s="40"/>
      <c r="CP2" s="40"/>
      <c r="CQ2" s="40"/>
      <c r="CR2" s="40"/>
      <c r="CS2" s="40"/>
      <c r="CT2" s="40"/>
      <c r="CU2" s="40"/>
    </row>
    <row r="3" spans="1:99" ht="18.75" customHeight="1" x14ac:dyDescent="0.25">
      <c r="A3" s="40"/>
      <c r="B3" s="444"/>
      <c r="C3" s="444"/>
      <c r="D3" s="444"/>
      <c r="E3" s="444"/>
      <c r="F3" s="444"/>
      <c r="G3" s="444"/>
      <c r="H3" s="444"/>
      <c r="I3" s="444"/>
      <c r="J3" s="412"/>
      <c r="K3" s="412"/>
      <c r="L3" s="412"/>
      <c r="M3" s="412"/>
      <c r="N3" s="412"/>
      <c r="O3" s="412"/>
      <c r="P3" s="412"/>
      <c r="Q3" s="412"/>
      <c r="R3" s="412"/>
      <c r="S3" s="412"/>
      <c r="T3" s="412"/>
      <c r="U3" s="412"/>
      <c r="V3" s="412"/>
      <c r="W3" s="412"/>
      <c r="X3" s="412"/>
      <c r="Y3" s="412"/>
      <c r="Z3" s="412"/>
      <c r="AA3" s="412"/>
      <c r="AB3" s="412"/>
      <c r="AC3" s="412"/>
      <c r="AD3" s="412"/>
      <c r="AE3" s="412"/>
      <c r="AF3" s="412"/>
      <c r="AG3" s="412"/>
      <c r="AH3" s="412"/>
      <c r="AI3" s="412"/>
      <c r="AJ3" s="412"/>
      <c r="AK3" s="412"/>
      <c r="AL3" s="412"/>
      <c r="AM3" s="412"/>
      <c r="AN3" s="40"/>
      <c r="AO3" s="40"/>
      <c r="AP3" s="40"/>
      <c r="AQ3" s="40"/>
      <c r="AR3" s="40"/>
      <c r="AS3" s="40"/>
      <c r="AT3" s="40"/>
      <c r="AU3" s="40"/>
      <c r="AV3" s="40"/>
      <c r="AW3" s="40"/>
      <c r="AX3" s="40"/>
      <c r="AY3" s="40"/>
      <c r="AZ3" s="40"/>
      <c r="BA3" s="40"/>
      <c r="BB3" s="40"/>
      <c r="BC3" s="40"/>
      <c r="BD3" s="40"/>
      <c r="BE3" s="40"/>
      <c r="BF3" s="40"/>
      <c r="BG3" s="40"/>
      <c r="BH3" s="40"/>
      <c r="BI3" s="40"/>
      <c r="BJ3" s="40"/>
      <c r="BK3" s="40"/>
      <c r="BL3" s="40"/>
      <c r="BM3" s="40"/>
      <c r="BN3" s="40"/>
      <c r="BO3" s="40"/>
      <c r="BP3" s="40"/>
      <c r="BQ3" s="40"/>
      <c r="BR3" s="40"/>
      <c r="BS3" s="40"/>
      <c r="BT3" s="40"/>
      <c r="BU3" s="40"/>
      <c r="BV3" s="40"/>
      <c r="BW3" s="40"/>
      <c r="BX3" s="40"/>
      <c r="BY3" s="40"/>
      <c r="BZ3" s="40"/>
      <c r="CA3" s="40"/>
      <c r="CB3" s="40"/>
      <c r="CC3" s="40"/>
      <c r="CD3" s="40"/>
      <c r="CE3" s="40"/>
      <c r="CF3" s="40"/>
      <c r="CG3" s="40"/>
      <c r="CH3" s="40"/>
      <c r="CI3" s="40"/>
      <c r="CJ3" s="40"/>
      <c r="CK3" s="40"/>
      <c r="CL3" s="40"/>
      <c r="CM3" s="40"/>
      <c r="CN3" s="40"/>
      <c r="CO3" s="40"/>
      <c r="CP3" s="40"/>
      <c r="CQ3" s="40"/>
      <c r="CR3" s="40"/>
      <c r="CS3" s="40"/>
      <c r="CT3" s="40"/>
      <c r="CU3" s="40"/>
    </row>
    <row r="4" spans="1:99" ht="15" customHeight="1" x14ac:dyDescent="0.25">
      <c r="A4" s="40"/>
      <c r="B4" s="444"/>
      <c r="C4" s="444"/>
      <c r="D4" s="444"/>
      <c r="E4" s="444"/>
      <c r="F4" s="444"/>
      <c r="G4" s="444"/>
      <c r="H4" s="444"/>
      <c r="I4" s="444"/>
      <c r="J4" s="412"/>
      <c r="K4" s="412"/>
      <c r="L4" s="412"/>
      <c r="M4" s="412"/>
      <c r="N4" s="412"/>
      <c r="O4" s="412"/>
      <c r="P4" s="412"/>
      <c r="Q4" s="412"/>
      <c r="R4" s="412"/>
      <c r="S4" s="412"/>
      <c r="T4" s="412"/>
      <c r="U4" s="412"/>
      <c r="V4" s="412"/>
      <c r="W4" s="412"/>
      <c r="X4" s="412"/>
      <c r="Y4" s="412"/>
      <c r="Z4" s="412"/>
      <c r="AA4" s="412"/>
      <c r="AB4" s="412"/>
      <c r="AC4" s="412"/>
      <c r="AD4" s="412"/>
      <c r="AE4" s="412"/>
      <c r="AF4" s="412"/>
      <c r="AG4" s="412"/>
      <c r="AH4" s="412"/>
      <c r="AI4" s="412"/>
      <c r="AJ4" s="412"/>
      <c r="AK4" s="412"/>
      <c r="AL4" s="412"/>
      <c r="AM4" s="412"/>
      <c r="AN4" s="40"/>
      <c r="AO4" s="40"/>
      <c r="AP4" s="40"/>
      <c r="AQ4" s="40"/>
      <c r="AR4" s="40"/>
      <c r="AS4" s="40"/>
      <c r="AT4" s="40"/>
      <c r="AU4" s="40"/>
      <c r="AV4" s="40"/>
      <c r="AW4" s="40"/>
      <c r="AX4" s="40"/>
      <c r="AY4" s="40"/>
      <c r="AZ4" s="40"/>
      <c r="BA4" s="40"/>
      <c r="BB4" s="40"/>
      <c r="BC4" s="40"/>
      <c r="BD4" s="40"/>
      <c r="BE4" s="40"/>
      <c r="BF4" s="40"/>
      <c r="BG4" s="40"/>
      <c r="BH4" s="40"/>
      <c r="BI4" s="40"/>
      <c r="BJ4" s="40"/>
      <c r="BK4" s="40"/>
      <c r="BL4" s="40"/>
      <c r="BM4" s="40"/>
      <c r="BN4" s="40"/>
      <c r="BO4" s="40"/>
      <c r="BP4" s="40"/>
      <c r="BQ4" s="40"/>
      <c r="BR4" s="40"/>
      <c r="BS4" s="40"/>
      <c r="BT4" s="40"/>
      <c r="BU4" s="40"/>
      <c r="BV4" s="40"/>
      <c r="BW4" s="40"/>
      <c r="BX4" s="40"/>
      <c r="BY4" s="40"/>
      <c r="BZ4" s="40"/>
      <c r="CA4" s="40"/>
      <c r="CB4" s="40"/>
      <c r="CC4" s="40"/>
      <c r="CD4" s="40"/>
      <c r="CE4" s="40"/>
      <c r="CF4" s="40"/>
      <c r="CG4" s="40"/>
      <c r="CH4" s="40"/>
      <c r="CI4" s="40"/>
      <c r="CJ4" s="40"/>
      <c r="CK4" s="40"/>
      <c r="CL4" s="40"/>
      <c r="CM4" s="40"/>
      <c r="CN4" s="40"/>
      <c r="CO4" s="40"/>
      <c r="CP4" s="40"/>
      <c r="CQ4" s="40"/>
      <c r="CR4" s="40"/>
      <c r="CS4" s="40"/>
      <c r="CT4" s="40"/>
      <c r="CU4" s="40"/>
    </row>
    <row r="5" spans="1:99" ht="15.75" thickBot="1" x14ac:dyDescent="0.3">
      <c r="A5" s="40"/>
      <c r="B5" s="40"/>
      <c r="C5" s="40"/>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0"/>
      <c r="CA5" s="40"/>
      <c r="CB5" s="40"/>
      <c r="CC5" s="40"/>
      <c r="CD5" s="40"/>
      <c r="CE5" s="40"/>
      <c r="CF5" s="40"/>
      <c r="CG5" s="40"/>
      <c r="CH5" s="40"/>
      <c r="CI5" s="40"/>
      <c r="CJ5" s="40"/>
      <c r="CK5" s="40"/>
      <c r="CL5" s="40"/>
      <c r="CM5" s="40"/>
      <c r="CN5" s="40"/>
      <c r="CO5" s="40"/>
      <c r="CP5" s="40"/>
      <c r="CQ5" s="40"/>
      <c r="CR5" s="40"/>
      <c r="CS5" s="40"/>
      <c r="CT5" s="40"/>
      <c r="CU5" s="40"/>
    </row>
    <row r="6" spans="1:99" ht="15" customHeight="1" x14ac:dyDescent="0.25">
      <c r="A6" s="40"/>
      <c r="B6" s="359" t="s">
        <v>118</v>
      </c>
      <c r="C6" s="359"/>
      <c r="D6" s="360"/>
      <c r="E6" s="397" t="s">
        <v>638</v>
      </c>
      <c r="F6" s="398"/>
      <c r="G6" s="398"/>
      <c r="H6" s="398"/>
      <c r="I6" s="399"/>
      <c r="J6" s="408" t="str">
        <f>IF(AND('Mapa final'!$I$20="Muy Alta",'Mapa final'!$M$20="Leve"),CONCATENATE("R",'Mapa final'!$B$20),"")</f>
        <v/>
      </c>
      <c r="K6" s="409"/>
      <c r="L6" s="409" t="str">
        <f>IF(AND('Mapa final'!$I$32="Muy Alta",'Mapa final'!$M$32="Leve"),CONCATENATE("R",'Mapa final'!$B$32),"")</f>
        <v/>
      </c>
      <c r="M6" s="409"/>
      <c r="N6" s="409" t="str">
        <f>IF(AND('Mapa final'!$I$36="Muy Alta",'Mapa final'!$M$36="Leve"),CONCATENATE("R",'Mapa final'!$B$36),"")</f>
        <v/>
      </c>
      <c r="O6" s="411"/>
      <c r="P6" s="408" t="str">
        <f>IF(AND('Mapa final'!$I$20="Muy Alta",'Mapa final'!$M$20="Menor"),CONCATENATE("R",'Mapa final'!$B$20),"")</f>
        <v/>
      </c>
      <c r="Q6" s="409"/>
      <c r="R6" s="409" t="str">
        <f>IF(AND('Mapa final'!$I$32="Muy Alta",'Mapa final'!$M$32="Menor"),CONCATENATE("R",'Mapa final'!$B$32),"")</f>
        <v/>
      </c>
      <c r="S6" s="409"/>
      <c r="T6" s="409" t="str">
        <f>IF(AND('Mapa final'!$I$36="Muy Alta",'Mapa final'!$M$36="Menor"),CONCATENATE("R",'Mapa final'!$B$36),"")</f>
        <v/>
      </c>
      <c r="U6" s="411"/>
      <c r="V6" s="408" t="str">
        <f>IF(AND('Mapa final'!$I$20="Muy Alta",'Mapa final'!$M$20="Moderado"),CONCATENATE("R",'Mapa final'!$B$20),"")</f>
        <v/>
      </c>
      <c r="W6" s="409"/>
      <c r="X6" s="409" t="str">
        <f>IF(AND('Mapa final'!$I$32="Muy Alta",'Mapa final'!$M$32="Moderado"),CONCATENATE("R",'Mapa final'!$B$32),"")</f>
        <v/>
      </c>
      <c r="Y6" s="409"/>
      <c r="Z6" s="409" t="str">
        <f>IF(AND('Mapa final'!$I$36="Muy Alta",'Mapa final'!$M$36="Moderado"),CONCATENATE("R",'Mapa final'!$B$36),"")</f>
        <v/>
      </c>
      <c r="AA6" s="411"/>
      <c r="AB6" s="408" t="str">
        <f>IF(AND('Mapa final'!$I$20="Muy Alta",'Mapa final'!$M$20="Mayor"),CONCATENATE("R",'Mapa final'!$B$20),"")</f>
        <v/>
      </c>
      <c r="AC6" s="409"/>
      <c r="AD6" s="409" t="str">
        <f>IF(AND('Mapa final'!$I$32="Muy Alta",'Mapa final'!$M$32="Mayor"),CONCATENATE("R",'Mapa final'!$B$32),"")</f>
        <v/>
      </c>
      <c r="AE6" s="409"/>
      <c r="AF6" s="409" t="str">
        <f>IF(AND('Mapa final'!$I$36="Muy Alta",'Mapa final'!$M$36="Mayor"),CONCATENATE("R",'Mapa final'!$B$36),"")</f>
        <v/>
      </c>
      <c r="AG6" s="411"/>
      <c r="AH6" s="423" t="str">
        <f>IF(AND('Mapa final'!$I$20="Muy Alta",'Mapa final'!$M$20="Catastrófico"),CONCATENATE("R",'Mapa final'!$B$20),"")</f>
        <v/>
      </c>
      <c r="AI6" s="424"/>
      <c r="AJ6" s="424" t="str">
        <f>IF(AND('Mapa final'!$I$32="Muy Alta",'Mapa final'!$M$32="Catastrófico"),CONCATENATE("R",'Mapa final'!$B$32),"")</f>
        <v/>
      </c>
      <c r="AK6" s="424"/>
      <c r="AL6" s="424" t="str">
        <f>IF(AND('Mapa final'!$I$36="Muy Alta",'Mapa final'!$M$36="Catastrófico"),CONCATENATE("R",'Mapa final'!$B$36),"")</f>
        <v/>
      </c>
      <c r="AM6" s="425"/>
      <c r="AO6" s="361" t="s">
        <v>639</v>
      </c>
      <c r="AP6" s="362"/>
      <c r="AQ6" s="362"/>
      <c r="AR6" s="362"/>
      <c r="AS6" s="362"/>
      <c r="AT6" s="363"/>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c r="BY6" s="40"/>
      <c r="BZ6" s="40"/>
      <c r="CA6" s="40"/>
      <c r="CB6" s="40"/>
    </row>
    <row r="7" spans="1:99" ht="15" customHeight="1" x14ac:dyDescent="0.25">
      <c r="A7" s="40"/>
      <c r="B7" s="359"/>
      <c r="C7" s="359"/>
      <c r="D7" s="360"/>
      <c r="E7" s="400"/>
      <c r="F7" s="401"/>
      <c r="G7" s="401"/>
      <c r="H7" s="401"/>
      <c r="I7" s="402"/>
      <c r="J7" s="410"/>
      <c r="K7" s="406"/>
      <c r="L7" s="406"/>
      <c r="M7" s="406"/>
      <c r="N7" s="406"/>
      <c r="O7" s="407"/>
      <c r="P7" s="410"/>
      <c r="Q7" s="406"/>
      <c r="R7" s="406"/>
      <c r="S7" s="406"/>
      <c r="T7" s="406"/>
      <c r="U7" s="407"/>
      <c r="V7" s="410"/>
      <c r="W7" s="406"/>
      <c r="X7" s="406"/>
      <c r="Y7" s="406"/>
      <c r="Z7" s="406"/>
      <c r="AA7" s="407"/>
      <c r="AB7" s="410"/>
      <c r="AC7" s="406"/>
      <c r="AD7" s="406"/>
      <c r="AE7" s="406"/>
      <c r="AF7" s="406"/>
      <c r="AG7" s="407"/>
      <c r="AH7" s="417"/>
      <c r="AI7" s="418"/>
      <c r="AJ7" s="418"/>
      <c r="AK7" s="418"/>
      <c r="AL7" s="418"/>
      <c r="AM7" s="419"/>
      <c r="AN7" s="40"/>
      <c r="AO7" s="364"/>
      <c r="AP7" s="365"/>
      <c r="AQ7" s="365"/>
      <c r="AR7" s="365"/>
      <c r="AS7" s="365"/>
      <c r="AT7" s="366"/>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c r="BY7" s="40"/>
      <c r="BZ7" s="40"/>
      <c r="CA7" s="40"/>
      <c r="CB7" s="40"/>
    </row>
    <row r="8" spans="1:99" ht="15" customHeight="1" x14ac:dyDescent="0.25">
      <c r="A8" s="40"/>
      <c r="B8" s="359"/>
      <c r="C8" s="359"/>
      <c r="D8" s="360"/>
      <c r="E8" s="400"/>
      <c r="F8" s="401"/>
      <c r="G8" s="401"/>
      <c r="H8" s="401"/>
      <c r="I8" s="402"/>
      <c r="J8" s="410" t="str">
        <f>IF(AND('Mapa final'!$I$42="Muy Alta",'Mapa final'!$M$42="Leve"),CONCATENATE("R",'Mapa final'!$B$42),"")</f>
        <v/>
      </c>
      <c r="K8" s="406"/>
      <c r="L8" s="406" t="str">
        <f>IF(AND('Mapa final'!$I$48="Muy Alta",'Mapa final'!$M$48="Leve"),CONCATENATE("R",'Mapa final'!$B$48),"")</f>
        <v/>
      </c>
      <c r="M8" s="406"/>
      <c r="N8" s="406" t="str">
        <f>IF(AND('Mapa final'!$I$54="Muy Alta",'Mapa final'!$M$54="Leve"),CONCATENATE("R",'Mapa final'!$B$54),"")</f>
        <v/>
      </c>
      <c r="O8" s="407"/>
      <c r="P8" s="410" t="str">
        <f>IF(AND('Mapa final'!$I$42="Muy Alta",'Mapa final'!$M$42="Menor"),CONCATENATE("R",'Mapa final'!$B$42),"")</f>
        <v/>
      </c>
      <c r="Q8" s="406"/>
      <c r="R8" s="406" t="str">
        <f>IF(AND('Mapa final'!$I$48="Muy Alta",'Mapa final'!$M$48="Menor"),CONCATENATE("R",'Mapa final'!$B$48),"")</f>
        <v/>
      </c>
      <c r="S8" s="406"/>
      <c r="T8" s="406" t="str">
        <f>IF(AND('Mapa final'!$I$54="Muy Alta",'Mapa final'!$M$54="Menor"),CONCATENATE("R",'Mapa final'!$B$54),"")</f>
        <v/>
      </c>
      <c r="U8" s="407"/>
      <c r="V8" s="410" t="str">
        <f>IF(AND('Mapa final'!$I$42="Muy Alta",'Mapa final'!$M$42="Moderado"),CONCATENATE("R",'Mapa final'!$B$42),"")</f>
        <v/>
      </c>
      <c r="W8" s="406"/>
      <c r="X8" s="406" t="str">
        <f>IF(AND('Mapa final'!$I$48="Muy Alta",'Mapa final'!$M$48="Moderado"),CONCATENATE("R",'Mapa final'!$B$48),"")</f>
        <v/>
      </c>
      <c r="Y8" s="406"/>
      <c r="Z8" s="406" t="str">
        <f>IF(AND('Mapa final'!$I$54="Muy Alta",'Mapa final'!$M$54="Moderado"),CONCATENATE("R",'Mapa final'!$B$54),"")</f>
        <v/>
      </c>
      <c r="AA8" s="407"/>
      <c r="AB8" s="410" t="str">
        <f>IF(AND('Mapa final'!$I$42="Muy Alta",'Mapa final'!$M$42="Mayor"),CONCATENATE("R",'Mapa final'!$B$42),"")</f>
        <v/>
      </c>
      <c r="AC8" s="406"/>
      <c r="AD8" s="406" t="str">
        <f>IF(AND('Mapa final'!$I$48="Muy Alta",'Mapa final'!$M$48="Mayor"),CONCATENATE("R",'Mapa final'!$B$48),"")</f>
        <v/>
      </c>
      <c r="AE8" s="406"/>
      <c r="AF8" s="406" t="str">
        <f>IF(AND('Mapa final'!$I$54="Muy Alta",'Mapa final'!$M$54="Mayor"),CONCATENATE("R",'Mapa final'!$B$54),"")</f>
        <v/>
      </c>
      <c r="AG8" s="407"/>
      <c r="AH8" s="417" t="str">
        <f>IF(AND('Mapa final'!$I$42="Muy Alta",'Mapa final'!$M$42="Catastrófico"),CONCATENATE("R",'Mapa final'!$B$42),"")</f>
        <v/>
      </c>
      <c r="AI8" s="418"/>
      <c r="AJ8" s="418" t="str">
        <f>IF(AND('Mapa final'!$I$48="Muy Alta",'Mapa final'!$M$48="Catastrófico"),CONCATENATE("R",'Mapa final'!$B$48),"")</f>
        <v/>
      </c>
      <c r="AK8" s="418"/>
      <c r="AL8" s="418" t="str">
        <f>IF(AND('Mapa final'!$I$54="Muy Alta",'Mapa final'!$M$54="Catastrófico"),CONCATENATE("R",'Mapa final'!$B$54),"")</f>
        <v/>
      </c>
      <c r="AM8" s="419"/>
      <c r="AN8" s="40"/>
      <c r="AO8" s="364"/>
      <c r="AP8" s="365"/>
      <c r="AQ8" s="365"/>
      <c r="AR8" s="365"/>
      <c r="AS8" s="365"/>
      <c r="AT8" s="366"/>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row>
    <row r="9" spans="1:99" ht="15" customHeight="1" x14ac:dyDescent="0.25">
      <c r="A9" s="40"/>
      <c r="B9" s="359"/>
      <c r="C9" s="359"/>
      <c r="D9" s="360"/>
      <c r="E9" s="400"/>
      <c r="F9" s="401"/>
      <c r="G9" s="401"/>
      <c r="H9" s="401"/>
      <c r="I9" s="402"/>
      <c r="J9" s="410"/>
      <c r="K9" s="406"/>
      <c r="L9" s="406"/>
      <c r="M9" s="406"/>
      <c r="N9" s="406"/>
      <c r="O9" s="407"/>
      <c r="P9" s="410"/>
      <c r="Q9" s="406"/>
      <c r="R9" s="406"/>
      <c r="S9" s="406"/>
      <c r="T9" s="406"/>
      <c r="U9" s="407"/>
      <c r="V9" s="410"/>
      <c r="W9" s="406"/>
      <c r="X9" s="406"/>
      <c r="Y9" s="406"/>
      <c r="Z9" s="406"/>
      <c r="AA9" s="407"/>
      <c r="AB9" s="410"/>
      <c r="AC9" s="406"/>
      <c r="AD9" s="406"/>
      <c r="AE9" s="406"/>
      <c r="AF9" s="406"/>
      <c r="AG9" s="407"/>
      <c r="AH9" s="417"/>
      <c r="AI9" s="418"/>
      <c r="AJ9" s="418"/>
      <c r="AK9" s="418"/>
      <c r="AL9" s="418"/>
      <c r="AM9" s="419"/>
      <c r="AN9" s="40"/>
      <c r="AO9" s="364"/>
      <c r="AP9" s="365"/>
      <c r="AQ9" s="365"/>
      <c r="AR9" s="365"/>
      <c r="AS9" s="365"/>
      <c r="AT9" s="366"/>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row>
    <row r="10" spans="1:99" ht="15" customHeight="1" x14ac:dyDescent="0.25">
      <c r="A10" s="40"/>
      <c r="B10" s="359"/>
      <c r="C10" s="359"/>
      <c r="D10" s="360"/>
      <c r="E10" s="400"/>
      <c r="F10" s="401"/>
      <c r="G10" s="401"/>
      <c r="H10" s="401"/>
      <c r="I10" s="402"/>
      <c r="J10" s="410" t="str">
        <f>IF(AND('Mapa final'!$I$60="Muy Alta",'Mapa final'!$M$60="Leve"),CONCATENATE("R",'Mapa final'!$B$60),"")</f>
        <v/>
      </c>
      <c r="K10" s="406"/>
      <c r="L10" s="406" t="str">
        <f>IF(AND('Mapa final'!$I$66="Muy Alta",'Mapa final'!$M$66="Leve"),CONCATENATE("R",'Mapa final'!$B$66),"")</f>
        <v/>
      </c>
      <c r="M10" s="406"/>
      <c r="N10" s="406" t="str">
        <f>IF(AND('Mapa final'!$I$72="Muy Alta",'Mapa final'!$M$72="Leve"),CONCATENATE("R",'Mapa final'!$B$72),"")</f>
        <v/>
      </c>
      <c r="O10" s="407"/>
      <c r="P10" s="410" t="str">
        <f>IF(AND('Mapa final'!$I$60="Muy Alta",'Mapa final'!$M$60="Menor"),CONCATENATE("R",'Mapa final'!$B$60),"")</f>
        <v/>
      </c>
      <c r="Q10" s="406"/>
      <c r="R10" s="406" t="str">
        <f>IF(AND('Mapa final'!$I$66="Muy Alta",'Mapa final'!$M$66="Menor"),CONCATENATE("R",'Mapa final'!$B$66),"")</f>
        <v/>
      </c>
      <c r="S10" s="406"/>
      <c r="T10" s="406" t="str">
        <f>IF(AND('Mapa final'!$I$72="Muy Alta",'Mapa final'!$M$72="Menor"),CONCATENATE("R",'Mapa final'!$B$72),"")</f>
        <v/>
      </c>
      <c r="U10" s="407"/>
      <c r="V10" s="410" t="str">
        <f>IF(AND('Mapa final'!$I$60="Muy Alta",'Mapa final'!$M$60="Moderado"),CONCATENATE("R",'Mapa final'!$B$60),"")</f>
        <v/>
      </c>
      <c r="W10" s="406"/>
      <c r="X10" s="406" t="str">
        <f>IF(AND('Mapa final'!$I$66="Muy Alta",'Mapa final'!$M$66="Moderado"),CONCATENATE("R",'Mapa final'!$B$66),"")</f>
        <v/>
      </c>
      <c r="Y10" s="406"/>
      <c r="Z10" s="406" t="str">
        <f>IF(AND('Mapa final'!$I$72="Muy Alta",'Mapa final'!$M$72="Moderado"),CONCATENATE("R",'Mapa final'!$B$72),"")</f>
        <v/>
      </c>
      <c r="AA10" s="407"/>
      <c r="AB10" s="410" t="str">
        <f>IF(AND('Mapa final'!$I$60="Muy Alta",'Mapa final'!$M$60="Mayor"),CONCATENATE("R",'Mapa final'!$B$60),"")</f>
        <v/>
      </c>
      <c r="AC10" s="406"/>
      <c r="AD10" s="406" t="str">
        <f>IF(AND('Mapa final'!$I$66="Muy Alta",'Mapa final'!$M$66="Mayor"),CONCATENATE("R",'Mapa final'!$B$66),"")</f>
        <v/>
      </c>
      <c r="AE10" s="406"/>
      <c r="AF10" s="406" t="str">
        <f>IF(AND('Mapa final'!$I$72="Muy Alta",'Mapa final'!$M$72="Mayor"),CONCATENATE("R",'Mapa final'!$B$72),"")</f>
        <v/>
      </c>
      <c r="AG10" s="407"/>
      <c r="AH10" s="417" t="str">
        <f>IF(AND('Mapa final'!$I$60="Muy Alta",'Mapa final'!$M$60="Catastrófico"),CONCATENATE("R",'Mapa final'!$B$60),"")</f>
        <v/>
      </c>
      <c r="AI10" s="418"/>
      <c r="AJ10" s="418" t="str">
        <f>IF(AND('Mapa final'!$I$66="Muy Alta",'Mapa final'!$M$66="Catastrófico"),CONCATENATE("R",'Mapa final'!$B$66),"")</f>
        <v/>
      </c>
      <c r="AK10" s="418"/>
      <c r="AL10" s="418" t="str">
        <f>IF(AND('Mapa final'!$I$72="Muy Alta",'Mapa final'!$M$72="Catastrófico"),CONCATENATE("R",'Mapa final'!$B$72),"")</f>
        <v/>
      </c>
      <c r="AM10" s="419"/>
      <c r="AN10" s="40"/>
      <c r="AO10" s="364"/>
      <c r="AP10" s="365"/>
      <c r="AQ10" s="365"/>
      <c r="AR10" s="365"/>
      <c r="AS10" s="365"/>
      <c r="AT10" s="366"/>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c r="BY10" s="40"/>
      <c r="BZ10" s="40"/>
      <c r="CA10" s="40"/>
      <c r="CB10" s="40"/>
    </row>
    <row r="11" spans="1:99" ht="15" customHeight="1" x14ac:dyDescent="0.25">
      <c r="A11" s="40"/>
      <c r="B11" s="359"/>
      <c r="C11" s="359"/>
      <c r="D11" s="360"/>
      <c r="E11" s="400"/>
      <c r="F11" s="401"/>
      <c r="G11" s="401"/>
      <c r="H11" s="401"/>
      <c r="I11" s="402"/>
      <c r="J11" s="410"/>
      <c r="K11" s="406"/>
      <c r="L11" s="406"/>
      <c r="M11" s="406"/>
      <c r="N11" s="406"/>
      <c r="O11" s="407"/>
      <c r="P11" s="410"/>
      <c r="Q11" s="406"/>
      <c r="R11" s="406"/>
      <c r="S11" s="406"/>
      <c r="T11" s="406"/>
      <c r="U11" s="407"/>
      <c r="V11" s="410"/>
      <c r="W11" s="406"/>
      <c r="X11" s="406"/>
      <c r="Y11" s="406"/>
      <c r="Z11" s="406"/>
      <c r="AA11" s="407"/>
      <c r="AB11" s="410"/>
      <c r="AC11" s="406"/>
      <c r="AD11" s="406"/>
      <c r="AE11" s="406"/>
      <c r="AF11" s="406"/>
      <c r="AG11" s="407"/>
      <c r="AH11" s="417"/>
      <c r="AI11" s="418"/>
      <c r="AJ11" s="418"/>
      <c r="AK11" s="418"/>
      <c r="AL11" s="418"/>
      <c r="AM11" s="419"/>
      <c r="AN11" s="40"/>
      <c r="AO11" s="364"/>
      <c r="AP11" s="365"/>
      <c r="AQ11" s="365"/>
      <c r="AR11" s="365"/>
      <c r="AS11" s="365"/>
      <c r="AT11" s="366"/>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row>
    <row r="12" spans="1:99" ht="15" customHeight="1" x14ac:dyDescent="0.25">
      <c r="A12" s="40"/>
      <c r="B12" s="359"/>
      <c r="C12" s="359"/>
      <c r="D12" s="360"/>
      <c r="E12" s="400"/>
      <c r="F12" s="401"/>
      <c r="G12" s="401"/>
      <c r="H12" s="401"/>
      <c r="I12" s="402"/>
      <c r="J12" s="410" t="str">
        <f>IF(AND('Mapa final'!$I$78="Muy Alta",'Mapa final'!$M$78="Leve"),CONCATENATE("R",'Mapa final'!$B$78),"")</f>
        <v/>
      </c>
      <c r="K12" s="406"/>
      <c r="L12" s="406" t="str">
        <f>IF(AND('Mapa final'!$I$315="Muy Alta",'Mapa final'!$M$315="Leve"),CONCATENATE("R",'Mapa final'!#REF!),"")</f>
        <v/>
      </c>
      <c r="M12" s="406"/>
      <c r="N12" s="406" t="str">
        <f>IF(AND('Mapa final'!$I$321="Muy Alta",'Mapa final'!$M$321="Leve"),CONCATENATE("R",'Mapa final'!$B$321),"")</f>
        <v/>
      </c>
      <c r="O12" s="407"/>
      <c r="P12" s="410" t="str">
        <f>IF(AND('Mapa final'!$I$78="Muy Alta",'Mapa final'!$M$78="Menor"),CONCATENATE("R",'Mapa final'!$B$78),"")</f>
        <v/>
      </c>
      <c r="Q12" s="406"/>
      <c r="R12" s="406" t="str">
        <f>IF(AND('Mapa final'!$I$315="Muy Alta",'Mapa final'!$M$315="Menor"),CONCATENATE("R",'Mapa final'!#REF!),"")</f>
        <v/>
      </c>
      <c r="S12" s="406"/>
      <c r="T12" s="406" t="str">
        <f>IF(AND('Mapa final'!$I$321="Muy Alta",'Mapa final'!$M$321="Menor"),CONCATENATE("R",'Mapa final'!$B$321),"")</f>
        <v/>
      </c>
      <c r="U12" s="407"/>
      <c r="V12" s="410" t="str">
        <f>IF(AND('Mapa final'!$I$78="Muy Alta",'Mapa final'!$M$78="Moderado"),CONCATENATE("R",'Mapa final'!$B$78),"")</f>
        <v/>
      </c>
      <c r="W12" s="406"/>
      <c r="X12" s="406" t="str">
        <f>IF(AND('Mapa final'!$I$315="Muy Alta",'Mapa final'!$M$315="Moderado"),CONCATENATE("R",'Mapa final'!#REF!),"")</f>
        <v/>
      </c>
      <c r="Y12" s="406"/>
      <c r="Z12" s="406" t="str">
        <f>IF(AND('Mapa final'!$I$321="Muy Alta",'Mapa final'!$M$321="Moderado"),CONCATENATE("R",'Mapa final'!$B$321),"")</f>
        <v/>
      </c>
      <c r="AA12" s="407"/>
      <c r="AB12" s="410" t="str">
        <f>IF(AND('Mapa final'!$I$78="Muy Alta",'Mapa final'!$M$78="Mayor"),CONCATENATE("R",'Mapa final'!$B$78),"")</f>
        <v/>
      </c>
      <c r="AC12" s="406"/>
      <c r="AD12" s="406" t="str">
        <f>IF(AND('Mapa final'!$I$315="Muy Alta",'Mapa final'!$M$315="Mayor"),CONCATENATE("R",'Mapa final'!#REF!),"")</f>
        <v/>
      </c>
      <c r="AE12" s="406"/>
      <c r="AF12" s="406" t="str">
        <f>IF(AND('Mapa final'!$I$321="Muy Alta",'Mapa final'!$M$321="Mayor"),CONCATENATE("R",'Mapa final'!$B$321),"")</f>
        <v/>
      </c>
      <c r="AG12" s="407"/>
      <c r="AH12" s="417" t="str">
        <f>IF(AND('Mapa final'!$I$78="Muy Alta",'Mapa final'!$M$78="Catastrófico"),CONCATENATE("R",'Mapa final'!$B$78),"")</f>
        <v/>
      </c>
      <c r="AI12" s="418"/>
      <c r="AJ12" s="418" t="str">
        <f>IF(AND('Mapa final'!$I$315="Muy Alta",'Mapa final'!$M$315="Catastrófico"),CONCATENATE("R",'Mapa final'!#REF!),"")</f>
        <v/>
      </c>
      <c r="AK12" s="418"/>
      <c r="AL12" s="418" t="str">
        <f>IF(AND('Mapa final'!$I$321="Muy Alta",'Mapa final'!$M$321="Catastrófico"),CONCATENATE("R",'Mapa final'!$B$321),"")</f>
        <v/>
      </c>
      <c r="AM12" s="419"/>
      <c r="AN12" s="40"/>
      <c r="AO12" s="364"/>
      <c r="AP12" s="365"/>
      <c r="AQ12" s="365"/>
      <c r="AR12" s="365"/>
      <c r="AS12" s="365"/>
      <c r="AT12" s="366"/>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c r="BY12" s="40"/>
      <c r="BZ12" s="40"/>
      <c r="CA12" s="40"/>
      <c r="CB12" s="40"/>
    </row>
    <row r="13" spans="1:99" ht="15.75" customHeight="1" thickBot="1" x14ac:dyDescent="0.3">
      <c r="A13" s="40"/>
      <c r="B13" s="359"/>
      <c r="C13" s="359"/>
      <c r="D13" s="360"/>
      <c r="E13" s="403"/>
      <c r="F13" s="404"/>
      <c r="G13" s="404"/>
      <c r="H13" s="404"/>
      <c r="I13" s="405"/>
      <c r="J13" s="410"/>
      <c r="K13" s="406"/>
      <c r="L13" s="406"/>
      <c r="M13" s="406"/>
      <c r="N13" s="406"/>
      <c r="O13" s="407"/>
      <c r="P13" s="410"/>
      <c r="Q13" s="406"/>
      <c r="R13" s="406"/>
      <c r="S13" s="406"/>
      <c r="T13" s="406"/>
      <c r="U13" s="407"/>
      <c r="V13" s="410"/>
      <c r="W13" s="406"/>
      <c r="X13" s="406"/>
      <c r="Y13" s="406"/>
      <c r="Z13" s="406"/>
      <c r="AA13" s="407"/>
      <c r="AB13" s="410"/>
      <c r="AC13" s="406"/>
      <c r="AD13" s="406"/>
      <c r="AE13" s="406"/>
      <c r="AF13" s="406"/>
      <c r="AG13" s="407"/>
      <c r="AH13" s="420"/>
      <c r="AI13" s="421"/>
      <c r="AJ13" s="421"/>
      <c r="AK13" s="421"/>
      <c r="AL13" s="421"/>
      <c r="AM13" s="422"/>
      <c r="AN13" s="40"/>
      <c r="AO13" s="367"/>
      <c r="AP13" s="368"/>
      <c r="AQ13" s="368"/>
      <c r="AR13" s="368"/>
      <c r="AS13" s="368"/>
      <c r="AT13" s="369"/>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c r="BY13" s="40"/>
      <c r="BZ13" s="40"/>
      <c r="CA13" s="40"/>
      <c r="CB13" s="40"/>
    </row>
    <row r="14" spans="1:99" ht="15" customHeight="1" x14ac:dyDescent="0.25">
      <c r="A14" s="40"/>
      <c r="B14" s="359"/>
      <c r="C14" s="359"/>
      <c r="D14" s="360"/>
      <c r="E14" s="397" t="s">
        <v>640</v>
      </c>
      <c r="F14" s="398"/>
      <c r="G14" s="398"/>
      <c r="H14" s="398"/>
      <c r="I14" s="398"/>
      <c r="J14" s="432" t="str">
        <f>IF(AND('Mapa final'!$I$20="Alta",'Mapa final'!$M$20="Leve"),CONCATENATE("R",'Mapa final'!$B$20),"")</f>
        <v/>
      </c>
      <c r="K14" s="433"/>
      <c r="L14" s="433" t="str">
        <f>IF(AND('Mapa final'!$I$32="Alta",'Mapa final'!$M$32="Leve"),CONCATENATE("R",'Mapa final'!$B$32),"")</f>
        <v/>
      </c>
      <c r="M14" s="433"/>
      <c r="N14" s="433" t="str">
        <f>IF(AND('Mapa final'!$I$36="Alta",'Mapa final'!$M$36="Leve"),CONCATENATE("R",'Mapa final'!$B$36),"")</f>
        <v/>
      </c>
      <c r="O14" s="434"/>
      <c r="P14" s="432" t="str">
        <f>IF(AND('Mapa final'!$I$20="Alta",'Mapa final'!$M$20="Menor"),CONCATENATE("R",'Mapa final'!$B$20),"")</f>
        <v/>
      </c>
      <c r="Q14" s="433"/>
      <c r="R14" s="433" t="str">
        <f>IF(AND('Mapa final'!$I$32="Alta",'Mapa final'!$M$32="Menor"),CONCATENATE("R",'Mapa final'!$B$32),"")</f>
        <v/>
      </c>
      <c r="S14" s="433"/>
      <c r="T14" s="433" t="str">
        <f>IF(AND('Mapa final'!$I$36="Alta",'Mapa final'!$M$36="Menor"),CONCATENATE("R",'Mapa final'!$B$36),"")</f>
        <v/>
      </c>
      <c r="U14" s="434"/>
      <c r="V14" s="408" t="str">
        <f>IF(AND('Mapa final'!$I$20="Alta",'Mapa final'!$M$20="Moderado"),CONCATENATE("R",'Mapa final'!$B$20),"")</f>
        <v/>
      </c>
      <c r="W14" s="409"/>
      <c r="X14" s="409" t="str">
        <f>IF(AND('Mapa final'!$I$32="Alta",'Mapa final'!$M$32="Moderado"),CONCATENATE("R",'Mapa final'!$B$32),"")</f>
        <v/>
      </c>
      <c r="Y14" s="409"/>
      <c r="Z14" s="409" t="str">
        <f>IF(AND('Mapa final'!$I$36="Alta",'Mapa final'!$M$36="Moderado"),CONCATENATE("R",'Mapa final'!$B$36),"")</f>
        <v/>
      </c>
      <c r="AA14" s="411"/>
      <c r="AB14" s="408" t="str">
        <f>IF(AND('Mapa final'!$I$20="Alta",'Mapa final'!$M$20="Mayor"),CONCATENATE("R",'Mapa final'!$B$20),"")</f>
        <v/>
      </c>
      <c r="AC14" s="409"/>
      <c r="AD14" s="409" t="str">
        <f>IF(AND('Mapa final'!$I$32="Alta",'Mapa final'!$M$32="Mayor"),CONCATENATE("R",'Mapa final'!$B$32),"")</f>
        <v/>
      </c>
      <c r="AE14" s="409"/>
      <c r="AF14" s="409" t="str">
        <f>IF(AND('Mapa final'!$I$36="Alta",'Mapa final'!$M$36="Mayor"),CONCATENATE("R",'Mapa final'!$B$36),"")</f>
        <v/>
      </c>
      <c r="AG14" s="411"/>
      <c r="AH14" s="423" t="str">
        <f>IF(AND('Mapa final'!$I$20="Alta",'Mapa final'!$M$20="Catastrófico"),CONCATENATE("R",'Mapa final'!$B$20),"")</f>
        <v/>
      </c>
      <c r="AI14" s="424"/>
      <c r="AJ14" s="424" t="str">
        <f>IF(AND('Mapa final'!$I$32="Alta",'Mapa final'!$M$32="Catastrófico"),CONCATENATE("R",'Mapa final'!$B$32),"")</f>
        <v/>
      </c>
      <c r="AK14" s="424"/>
      <c r="AL14" s="424" t="str">
        <f>IF(AND('Mapa final'!$I$36="Alta",'Mapa final'!$M$36="Catastrófico"),CONCATENATE("R",'Mapa final'!$B$36),"")</f>
        <v/>
      </c>
      <c r="AM14" s="425"/>
      <c r="AN14" s="40"/>
      <c r="AO14" s="370" t="s">
        <v>641</v>
      </c>
      <c r="AP14" s="371"/>
      <c r="AQ14" s="371"/>
      <c r="AR14" s="371"/>
      <c r="AS14" s="371"/>
      <c r="AT14" s="372"/>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c r="BY14" s="40"/>
      <c r="BZ14" s="40"/>
      <c r="CA14" s="40"/>
      <c r="CB14" s="40"/>
    </row>
    <row r="15" spans="1:99" ht="15" customHeight="1" x14ac:dyDescent="0.25">
      <c r="A15" s="40"/>
      <c r="B15" s="359"/>
      <c r="C15" s="359"/>
      <c r="D15" s="360"/>
      <c r="E15" s="400"/>
      <c r="F15" s="401"/>
      <c r="G15" s="401"/>
      <c r="H15" s="401"/>
      <c r="I15" s="401"/>
      <c r="J15" s="426"/>
      <c r="K15" s="427"/>
      <c r="L15" s="427"/>
      <c r="M15" s="427"/>
      <c r="N15" s="427"/>
      <c r="O15" s="428"/>
      <c r="P15" s="426"/>
      <c r="Q15" s="427"/>
      <c r="R15" s="427"/>
      <c r="S15" s="427"/>
      <c r="T15" s="427"/>
      <c r="U15" s="428"/>
      <c r="V15" s="410"/>
      <c r="W15" s="406"/>
      <c r="X15" s="406"/>
      <c r="Y15" s="406"/>
      <c r="Z15" s="406"/>
      <c r="AA15" s="407"/>
      <c r="AB15" s="410"/>
      <c r="AC15" s="406"/>
      <c r="AD15" s="406"/>
      <c r="AE15" s="406"/>
      <c r="AF15" s="406"/>
      <c r="AG15" s="407"/>
      <c r="AH15" s="417"/>
      <c r="AI15" s="418"/>
      <c r="AJ15" s="418"/>
      <c r="AK15" s="418"/>
      <c r="AL15" s="418"/>
      <c r="AM15" s="419"/>
      <c r="AN15" s="40"/>
      <c r="AO15" s="373"/>
      <c r="AP15" s="374"/>
      <c r="AQ15" s="374"/>
      <c r="AR15" s="374"/>
      <c r="AS15" s="374"/>
      <c r="AT15" s="375"/>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c r="BY15" s="40"/>
      <c r="BZ15" s="40"/>
      <c r="CA15" s="40"/>
      <c r="CB15" s="40"/>
    </row>
    <row r="16" spans="1:99" ht="15" customHeight="1" x14ac:dyDescent="0.25">
      <c r="A16" s="40"/>
      <c r="B16" s="359"/>
      <c r="C16" s="359"/>
      <c r="D16" s="360"/>
      <c r="E16" s="400"/>
      <c r="F16" s="401"/>
      <c r="G16" s="401"/>
      <c r="H16" s="401"/>
      <c r="I16" s="401"/>
      <c r="J16" s="426" t="str">
        <f>IF(AND('Mapa final'!$I$42="Alta",'Mapa final'!$M$42="Leve"),CONCATENATE("R",'Mapa final'!$B$42),"")</f>
        <v/>
      </c>
      <c r="K16" s="427"/>
      <c r="L16" s="427" t="str">
        <f>IF(AND('Mapa final'!$I$48="Alta",'Mapa final'!$M$48="Leve"),CONCATENATE("R",'Mapa final'!$B$48),"")</f>
        <v/>
      </c>
      <c r="M16" s="427"/>
      <c r="N16" s="427" t="str">
        <f>IF(AND('Mapa final'!$I$54="Alta",'Mapa final'!$M$54="Leve"),CONCATENATE("R",'Mapa final'!$B$54),"")</f>
        <v/>
      </c>
      <c r="O16" s="428"/>
      <c r="P16" s="426" t="str">
        <f>IF(AND('Mapa final'!$I$42="Alta",'Mapa final'!$M$42="Menor"),CONCATENATE("R",'Mapa final'!$B$42),"")</f>
        <v/>
      </c>
      <c r="Q16" s="427"/>
      <c r="R16" s="427" t="str">
        <f>IF(AND('Mapa final'!$I$48="Alta",'Mapa final'!$M$48="Menor"),CONCATENATE("R",'Mapa final'!$B$48),"")</f>
        <v/>
      </c>
      <c r="S16" s="427"/>
      <c r="T16" s="427" t="str">
        <f>IF(AND('Mapa final'!$I$54="Alta",'Mapa final'!$M$54="Menor"),CONCATENATE("R",'Mapa final'!$B$54),"")</f>
        <v/>
      </c>
      <c r="U16" s="428"/>
      <c r="V16" s="410" t="str">
        <f>IF(AND('Mapa final'!$I$42="Alta",'Mapa final'!$M$42="Moderado"),CONCATENATE("R",'Mapa final'!$B$42),"")</f>
        <v/>
      </c>
      <c r="W16" s="406"/>
      <c r="X16" s="406" t="str">
        <f>IF(AND('Mapa final'!$I$48="Alta",'Mapa final'!$M$48="Moderado"),CONCATENATE("R",'Mapa final'!$B$48),"")</f>
        <v/>
      </c>
      <c r="Y16" s="406"/>
      <c r="Z16" s="406" t="str">
        <f>IF(AND('Mapa final'!$I$54="Alta",'Mapa final'!$M$54="Moderado"),CONCATENATE("R",'Mapa final'!$B$54),"")</f>
        <v/>
      </c>
      <c r="AA16" s="407"/>
      <c r="AB16" s="410" t="str">
        <f>IF(AND('Mapa final'!$I$42="Alta",'Mapa final'!$M$42="Mayor"),CONCATENATE("R",'Mapa final'!$B$42),"")</f>
        <v/>
      </c>
      <c r="AC16" s="406"/>
      <c r="AD16" s="406" t="str">
        <f>IF(AND('Mapa final'!$I$48="Alta",'Mapa final'!$M$48="Mayor"),CONCATENATE("R",'Mapa final'!$B$48),"")</f>
        <v/>
      </c>
      <c r="AE16" s="406"/>
      <c r="AF16" s="406" t="str">
        <f>IF(AND('Mapa final'!$I$54="Alta",'Mapa final'!$M$54="Mayor"),CONCATENATE("R",'Mapa final'!$B$54),"")</f>
        <v/>
      </c>
      <c r="AG16" s="407"/>
      <c r="AH16" s="417" t="str">
        <f>IF(AND('Mapa final'!$I$42="Alta",'Mapa final'!$M$42="Catastrófico"),CONCATENATE("R",'Mapa final'!$B$42),"")</f>
        <v/>
      </c>
      <c r="AI16" s="418"/>
      <c r="AJ16" s="418" t="str">
        <f>IF(AND('Mapa final'!$I$48="Alta",'Mapa final'!$M$48="Catastrófico"),CONCATENATE("R",'Mapa final'!$B$48),"")</f>
        <v/>
      </c>
      <c r="AK16" s="418"/>
      <c r="AL16" s="418" t="str">
        <f>IF(AND('Mapa final'!$I$54="Alta",'Mapa final'!$M$54="Catastrófico"),CONCATENATE("R",'Mapa final'!$B$54),"")</f>
        <v/>
      </c>
      <c r="AM16" s="419"/>
      <c r="AN16" s="40"/>
      <c r="AO16" s="373"/>
      <c r="AP16" s="374"/>
      <c r="AQ16" s="374"/>
      <c r="AR16" s="374"/>
      <c r="AS16" s="374"/>
      <c r="AT16" s="375"/>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c r="BY16" s="40"/>
      <c r="BZ16" s="40"/>
      <c r="CA16" s="40"/>
      <c r="CB16" s="40"/>
    </row>
    <row r="17" spans="1:80" ht="15" customHeight="1" x14ac:dyDescent="0.25">
      <c r="A17" s="40"/>
      <c r="B17" s="359"/>
      <c r="C17" s="359"/>
      <c r="D17" s="360"/>
      <c r="E17" s="400"/>
      <c r="F17" s="401"/>
      <c r="G17" s="401"/>
      <c r="H17" s="401"/>
      <c r="I17" s="401"/>
      <c r="J17" s="426"/>
      <c r="K17" s="427"/>
      <c r="L17" s="427"/>
      <c r="M17" s="427"/>
      <c r="N17" s="427"/>
      <c r="O17" s="428"/>
      <c r="P17" s="426"/>
      <c r="Q17" s="427"/>
      <c r="R17" s="427"/>
      <c r="S17" s="427"/>
      <c r="T17" s="427"/>
      <c r="U17" s="428"/>
      <c r="V17" s="410"/>
      <c r="W17" s="406"/>
      <c r="X17" s="406"/>
      <c r="Y17" s="406"/>
      <c r="Z17" s="406"/>
      <c r="AA17" s="407"/>
      <c r="AB17" s="410"/>
      <c r="AC17" s="406"/>
      <c r="AD17" s="406"/>
      <c r="AE17" s="406"/>
      <c r="AF17" s="406"/>
      <c r="AG17" s="407"/>
      <c r="AH17" s="417"/>
      <c r="AI17" s="418"/>
      <c r="AJ17" s="418"/>
      <c r="AK17" s="418"/>
      <c r="AL17" s="418"/>
      <c r="AM17" s="419"/>
      <c r="AN17" s="40"/>
      <c r="AO17" s="373"/>
      <c r="AP17" s="374"/>
      <c r="AQ17" s="374"/>
      <c r="AR17" s="374"/>
      <c r="AS17" s="374"/>
      <c r="AT17" s="375"/>
      <c r="AU17" s="40"/>
      <c r="AV17" s="40"/>
      <c r="AW17" s="40"/>
      <c r="AX17" s="40"/>
      <c r="AY17" s="40"/>
      <c r="AZ17" s="40"/>
      <c r="BA17" s="40"/>
      <c r="BB17" s="40"/>
      <c r="BC17" s="40"/>
      <c r="BD17" s="40"/>
      <c r="BE17" s="40"/>
      <c r="BF17" s="40"/>
      <c r="BG17" s="40"/>
      <c r="BH17" s="40"/>
      <c r="BI17" s="40"/>
      <c r="BJ17" s="40"/>
      <c r="BK17" s="40"/>
      <c r="BL17" s="40"/>
      <c r="BM17" s="40"/>
      <c r="BN17" s="40"/>
      <c r="BO17" s="40"/>
      <c r="BP17" s="40"/>
      <c r="BQ17" s="40"/>
      <c r="BR17" s="40"/>
      <c r="BS17" s="40"/>
      <c r="BT17" s="40"/>
      <c r="BU17" s="40"/>
      <c r="BV17" s="40"/>
      <c r="BW17" s="40"/>
      <c r="BX17" s="40"/>
      <c r="BY17" s="40"/>
      <c r="BZ17" s="40"/>
      <c r="CA17" s="40"/>
      <c r="CB17" s="40"/>
    </row>
    <row r="18" spans="1:80" ht="15" customHeight="1" x14ac:dyDescent="0.25">
      <c r="A18" s="40"/>
      <c r="B18" s="359"/>
      <c r="C18" s="359"/>
      <c r="D18" s="360"/>
      <c r="E18" s="400"/>
      <c r="F18" s="401"/>
      <c r="G18" s="401"/>
      <c r="H18" s="401"/>
      <c r="I18" s="401"/>
      <c r="J18" s="426" t="str">
        <f>IF(AND('Mapa final'!$I$60="Alta",'Mapa final'!$M$60="Leve"),CONCATENATE("R",'Mapa final'!$B$60),"")</f>
        <v/>
      </c>
      <c r="K18" s="427"/>
      <c r="L18" s="427" t="str">
        <f>IF(AND('Mapa final'!$I$66="Alta",'Mapa final'!$M$66="Leve"),CONCATENATE("R",'Mapa final'!$B$66),"")</f>
        <v/>
      </c>
      <c r="M18" s="427"/>
      <c r="N18" s="427" t="str">
        <f>IF(AND('Mapa final'!$I$72="Alta",'Mapa final'!$M$72="Leve"),CONCATENATE("R",'Mapa final'!$B$72),"")</f>
        <v/>
      </c>
      <c r="O18" s="428"/>
      <c r="P18" s="426" t="str">
        <f>IF(AND('Mapa final'!$I$60="Alta",'Mapa final'!$M$60="Menor"),CONCATENATE("R",'Mapa final'!$B$60),"")</f>
        <v/>
      </c>
      <c r="Q18" s="427"/>
      <c r="R18" s="427" t="str">
        <f>IF(AND('Mapa final'!$I$66="Alta",'Mapa final'!$M$66="Menor"),CONCATENATE("R",'Mapa final'!$B$66),"")</f>
        <v/>
      </c>
      <c r="S18" s="427"/>
      <c r="T18" s="427" t="str">
        <f>IF(AND('Mapa final'!$I$72="Alta",'Mapa final'!$M$72="Menor"),CONCATENATE("R",'Mapa final'!$B$72),"")</f>
        <v/>
      </c>
      <c r="U18" s="428"/>
      <c r="V18" s="410" t="str">
        <f>IF(AND('Mapa final'!$I$60="Alta",'Mapa final'!$M$60="Moderado"),CONCATENATE("R",'Mapa final'!$B$60),"")</f>
        <v/>
      </c>
      <c r="W18" s="406"/>
      <c r="X18" s="406" t="str">
        <f>IF(AND('Mapa final'!$I$66="Alta",'Mapa final'!$M$66="Moderado"),CONCATENATE("R",'Mapa final'!$B$66),"")</f>
        <v/>
      </c>
      <c r="Y18" s="406"/>
      <c r="Z18" s="406" t="str">
        <f>IF(AND('Mapa final'!$I$72="Alta",'Mapa final'!$M$72="Moderado"),CONCATENATE("R",'Mapa final'!$B$72),"")</f>
        <v/>
      </c>
      <c r="AA18" s="407"/>
      <c r="AB18" s="410" t="str">
        <f>IF(AND('Mapa final'!$I$60="Alta",'Mapa final'!$M$60="Mayor"),CONCATENATE("R",'Mapa final'!$B$60),"")</f>
        <v/>
      </c>
      <c r="AC18" s="406"/>
      <c r="AD18" s="406" t="str">
        <f>IF(AND('Mapa final'!$I$66="Alta",'Mapa final'!$M$66="Mayor"),CONCATENATE("R",'Mapa final'!$B$66),"")</f>
        <v/>
      </c>
      <c r="AE18" s="406"/>
      <c r="AF18" s="406" t="str">
        <f>IF(AND('Mapa final'!$I$72="Alta",'Mapa final'!$M$72="Mayor"),CONCATENATE("R",'Mapa final'!$B$72),"")</f>
        <v/>
      </c>
      <c r="AG18" s="407"/>
      <c r="AH18" s="417" t="str">
        <f>IF(AND('Mapa final'!$I$60="Alta",'Mapa final'!$M$60="Catastrófico"),CONCATENATE("R",'Mapa final'!$B$60),"")</f>
        <v/>
      </c>
      <c r="AI18" s="418"/>
      <c r="AJ18" s="418" t="str">
        <f>IF(AND('Mapa final'!$I$66="Alta",'Mapa final'!$M$66="Catastrófico"),CONCATENATE("R",'Mapa final'!$B$66),"")</f>
        <v/>
      </c>
      <c r="AK18" s="418"/>
      <c r="AL18" s="418" t="str">
        <f>IF(AND('Mapa final'!$I$72="Alta",'Mapa final'!$M$72="Catastrófico"),CONCATENATE("R",'Mapa final'!$B$72),"")</f>
        <v/>
      </c>
      <c r="AM18" s="419"/>
      <c r="AN18" s="40"/>
      <c r="AO18" s="373"/>
      <c r="AP18" s="374"/>
      <c r="AQ18" s="374"/>
      <c r="AR18" s="374"/>
      <c r="AS18" s="374"/>
      <c r="AT18" s="375"/>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40"/>
      <c r="BX18" s="40"/>
      <c r="BY18" s="40"/>
      <c r="BZ18" s="40"/>
      <c r="CA18" s="40"/>
      <c r="CB18" s="40"/>
    </row>
    <row r="19" spans="1:80" ht="15" customHeight="1" x14ac:dyDescent="0.25">
      <c r="A19" s="40"/>
      <c r="B19" s="359"/>
      <c r="C19" s="359"/>
      <c r="D19" s="360"/>
      <c r="E19" s="400"/>
      <c r="F19" s="401"/>
      <c r="G19" s="401"/>
      <c r="H19" s="401"/>
      <c r="I19" s="401"/>
      <c r="J19" s="426"/>
      <c r="K19" s="427"/>
      <c r="L19" s="427"/>
      <c r="M19" s="427"/>
      <c r="N19" s="427"/>
      <c r="O19" s="428"/>
      <c r="P19" s="426"/>
      <c r="Q19" s="427"/>
      <c r="R19" s="427"/>
      <c r="S19" s="427"/>
      <c r="T19" s="427"/>
      <c r="U19" s="428"/>
      <c r="V19" s="410"/>
      <c r="W19" s="406"/>
      <c r="X19" s="406"/>
      <c r="Y19" s="406"/>
      <c r="Z19" s="406"/>
      <c r="AA19" s="407"/>
      <c r="AB19" s="410"/>
      <c r="AC19" s="406"/>
      <c r="AD19" s="406"/>
      <c r="AE19" s="406"/>
      <c r="AF19" s="406"/>
      <c r="AG19" s="407"/>
      <c r="AH19" s="417"/>
      <c r="AI19" s="418"/>
      <c r="AJ19" s="418"/>
      <c r="AK19" s="418"/>
      <c r="AL19" s="418"/>
      <c r="AM19" s="419"/>
      <c r="AN19" s="40"/>
      <c r="AO19" s="373"/>
      <c r="AP19" s="374"/>
      <c r="AQ19" s="374"/>
      <c r="AR19" s="374"/>
      <c r="AS19" s="374"/>
      <c r="AT19" s="375"/>
      <c r="AU19" s="40"/>
      <c r="AV19" s="40"/>
      <c r="AW19" s="40"/>
      <c r="AX19" s="40"/>
      <c r="AY19" s="40"/>
      <c r="AZ19" s="40"/>
      <c r="BA19" s="40"/>
      <c r="BB19" s="40"/>
      <c r="BC19" s="40"/>
      <c r="BD19" s="40"/>
      <c r="BE19" s="40"/>
      <c r="BF19" s="40"/>
      <c r="BG19" s="40"/>
      <c r="BH19" s="40"/>
      <c r="BI19" s="40"/>
      <c r="BJ19" s="40"/>
      <c r="BK19" s="40"/>
      <c r="BL19" s="40"/>
      <c r="BM19" s="40"/>
      <c r="BN19" s="40"/>
      <c r="BO19" s="40"/>
      <c r="BP19" s="40"/>
      <c r="BQ19" s="40"/>
      <c r="BR19" s="40"/>
      <c r="BS19" s="40"/>
      <c r="BT19" s="40"/>
      <c r="BU19" s="40"/>
      <c r="BV19" s="40"/>
      <c r="BW19" s="40"/>
      <c r="BX19" s="40"/>
      <c r="BY19" s="40"/>
      <c r="BZ19" s="40"/>
      <c r="CA19" s="40"/>
      <c r="CB19" s="40"/>
    </row>
    <row r="20" spans="1:80" ht="15" customHeight="1" x14ac:dyDescent="0.25">
      <c r="A20" s="40"/>
      <c r="B20" s="359"/>
      <c r="C20" s="359"/>
      <c r="D20" s="360"/>
      <c r="E20" s="400"/>
      <c r="F20" s="401"/>
      <c r="G20" s="401"/>
      <c r="H20" s="401"/>
      <c r="I20" s="401"/>
      <c r="J20" s="426" t="str">
        <f>IF(AND('Mapa final'!$I$78="Alta",'Mapa final'!$M$78="Leve"),CONCATENATE("R",'Mapa final'!$B$78),"")</f>
        <v/>
      </c>
      <c r="K20" s="427"/>
      <c r="L20" s="427" t="str">
        <f>IF(AND('Mapa final'!$I$315="Alta",'Mapa final'!$M$315="Leve"),CONCATENATE("R",'Mapa final'!#REF!),"")</f>
        <v/>
      </c>
      <c r="M20" s="427"/>
      <c r="N20" s="427" t="str">
        <f>IF(AND('Mapa final'!$I$321="Alta",'Mapa final'!$M$321="Leve"),CONCATENATE("R",'Mapa final'!$B$321),"")</f>
        <v/>
      </c>
      <c r="O20" s="428"/>
      <c r="P20" s="426" t="str">
        <f>IF(AND('Mapa final'!$I$78="Alta",'Mapa final'!$M$78="Menor"),CONCATENATE("R",'Mapa final'!$B$78),"")</f>
        <v/>
      </c>
      <c r="Q20" s="427"/>
      <c r="R20" s="427" t="str">
        <f>IF(AND('Mapa final'!$I$315="Alta",'Mapa final'!$M$315="Menor"),CONCATENATE("R",'Mapa final'!#REF!),"")</f>
        <v/>
      </c>
      <c r="S20" s="427"/>
      <c r="T20" s="427" t="str">
        <f>IF(AND('Mapa final'!$I$321="Alta",'Mapa final'!$M$321="Menor"),CONCATENATE("R",'Mapa final'!$B$321),"")</f>
        <v/>
      </c>
      <c r="U20" s="428"/>
      <c r="V20" s="410" t="str">
        <f>IF(AND('Mapa final'!$I$78="Alta",'Mapa final'!$M$78="Moderado"),CONCATENATE("R",'Mapa final'!$B$78),"")</f>
        <v/>
      </c>
      <c r="W20" s="406"/>
      <c r="X20" s="406" t="str">
        <f>IF(AND('Mapa final'!$I$315="Alta",'Mapa final'!$M$315="Moderado"),CONCATENATE("R",'Mapa final'!#REF!),"")</f>
        <v/>
      </c>
      <c r="Y20" s="406"/>
      <c r="Z20" s="406" t="str">
        <f>IF(AND('Mapa final'!$I$321="Alta",'Mapa final'!$M$321="Moderado"),CONCATENATE("R",'Mapa final'!$B$321),"")</f>
        <v/>
      </c>
      <c r="AA20" s="407"/>
      <c r="AB20" s="410" t="str">
        <f>IF(AND('Mapa final'!$I$78="Alta",'Mapa final'!$M$78="Mayor"),CONCATENATE("R",'Mapa final'!$B$78),"")</f>
        <v/>
      </c>
      <c r="AC20" s="406"/>
      <c r="AD20" s="406" t="str">
        <f>IF(AND('Mapa final'!$I$315="Alta",'Mapa final'!$M$315="Mayor"),CONCATENATE("R",'Mapa final'!#REF!),"")</f>
        <v/>
      </c>
      <c r="AE20" s="406"/>
      <c r="AF20" s="406" t="str">
        <f>IF(AND('Mapa final'!$I$321="Alta",'Mapa final'!$M$321="Mayor"),CONCATENATE("R",'Mapa final'!$B$321),"")</f>
        <v/>
      </c>
      <c r="AG20" s="407"/>
      <c r="AH20" s="417" t="str">
        <f>IF(AND('Mapa final'!$I$78="Alta",'Mapa final'!$M$78="Catastrófico"),CONCATENATE("R",'Mapa final'!$B$78),"")</f>
        <v/>
      </c>
      <c r="AI20" s="418"/>
      <c r="AJ20" s="418" t="str">
        <f>IF(AND('Mapa final'!$I$315="Alta",'Mapa final'!$M$315="Catastrófico"),CONCATENATE("R",'Mapa final'!#REF!),"")</f>
        <v/>
      </c>
      <c r="AK20" s="418"/>
      <c r="AL20" s="418" t="str">
        <f>IF(AND('Mapa final'!$I$321="Alta",'Mapa final'!$M$321="Catastrófico"),CONCATENATE("R",'Mapa final'!$B$321),"")</f>
        <v/>
      </c>
      <c r="AM20" s="419"/>
      <c r="AN20" s="40"/>
      <c r="AO20" s="373"/>
      <c r="AP20" s="374"/>
      <c r="AQ20" s="374"/>
      <c r="AR20" s="374"/>
      <c r="AS20" s="374"/>
      <c r="AT20" s="375"/>
      <c r="AU20" s="40"/>
      <c r="AV20" s="40"/>
      <c r="AW20" s="40"/>
      <c r="AX20" s="40"/>
      <c r="AY20" s="40"/>
      <c r="AZ20" s="40"/>
      <c r="BA20" s="40"/>
      <c r="BB20" s="40"/>
      <c r="BC20" s="40"/>
      <c r="BD20" s="40"/>
      <c r="BE20" s="40"/>
      <c r="BF20" s="40"/>
      <c r="BG20" s="40"/>
      <c r="BH20" s="40"/>
      <c r="BI20" s="40"/>
      <c r="BJ20" s="40"/>
      <c r="BK20" s="40"/>
      <c r="BL20" s="40"/>
      <c r="BM20" s="40"/>
      <c r="BN20" s="40"/>
      <c r="BO20" s="40"/>
      <c r="BP20" s="40"/>
      <c r="BQ20" s="40"/>
      <c r="BR20" s="40"/>
      <c r="BS20" s="40"/>
      <c r="BT20" s="40"/>
      <c r="BU20" s="40"/>
      <c r="BV20" s="40"/>
      <c r="BW20" s="40"/>
      <c r="BX20" s="40"/>
      <c r="BY20" s="40"/>
      <c r="BZ20" s="40"/>
      <c r="CA20" s="40"/>
      <c r="CB20" s="40"/>
    </row>
    <row r="21" spans="1:80" ht="15.75" customHeight="1" thickBot="1" x14ac:dyDescent="0.3">
      <c r="A21" s="40"/>
      <c r="B21" s="359"/>
      <c r="C21" s="359"/>
      <c r="D21" s="360"/>
      <c r="E21" s="403"/>
      <c r="F21" s="404"/>
      <c r="G21" s="404"/>
      <c r="H21" s="404"/>
      <c r="I21" s="404"/>
      <c r="J21" s="429"/>
      <c r="K21" s="430"/>
      <c r="L21" s="430"/>
      <c r="M21" s="430"/>
      <c r="N21" s="430"/>
      <c r="O21" s="431"/>
      <c r="P21" s="429"/>
      <c r="Q21" s="430"/>
      <c r="R21" s="430"/>
      <c r="S21" s="430"/>
      <c r="T21" s="430"/>
      <c r="U21" s="431"/>
      <c r="V21" s="414"/>
      <c r="W21" s="415"/>
      <c r="X21" s="415"/>
      <c r="Y21" s="415"/>
      <c r="Z21" s="415"/>
      <c r="AA21" s="416"/>
      <c r="AB21" s="414"/>
      <c r="AC21" s="415"/>
      <c r="AD21" s="415"/>
      <c r="AE21" s="415"/>
      <c r="AF21" s="415"/>
      <c r="AG21" s="416"/>
      <c r="AH21" s="420"/>
      <c r="AI21" s="421"/>
      <c r="AJ21" s="421"/>
      <c r="AK21" s="421"/>
      <c r="AL21" s="421"/>
      <c r="AM21" s="422"/>
      <c r="AN21" s="40"/>
      <c r="AO21" s="376"/>
      <c r="AP21" s="377"/>
      <c r="AQ21" s="377"/>
      <c r="AR21" s="377"/>
      <c r="AS21" s="377"/>
      <c r="AT21" s="378"/>
      <c r="AU21" s="40"/>
      <c r="AV21" s="40"/>
      <c r="AW21" s="40"/>
      <c r="AX21" s="40"/>
      <c r="AY21" s="40"/>
      <c r="AZ21" s="40"/>
      <c r="BA21" s="40"/>
      <c r="BB21" s="40"/>
      <c r="BC21" s="40"/>
      <c r="BD21" s="40"/>
      <c r="BE21" s="40"/>
      <c r="BF21" s="40"/>
      <c r="BG21" s="40"/>
      <c r="BH21" s="40"/>
      <c r="BI21" s="40"/>
      <c r="BJ21" s="40"/>
      <c r="BK21" s="40"/>
      <c r="BL21" s="40"/>
      <c r="BM21" s="40"/>
      <c r="BN21" s="40"/>
      <c r="BO21" s="40"/>
      <c r="BP21" s="40"/>
      <c r="BQ21" s="40"/>
      <c r="BR21" s="40"/>
      <c r="BS21" s="40"/>
      <c r="BT21" s="40"/>
      <c r="BU21" s="40"/>
      <c r="BV21" s="40"/>
      <c r="BW21" s="40"/>
      <c r="BX21" s="40"/>
      <c r="BY21" s="40"/>
      <c r="BZ21" s="40"/>
      <c r="CA21" s="40"/>
      <c r="CB21" s="40"/>
    </row>
    <row r="22" spans="1:80" x14ac:dyDescent="0.25">
      <c r="A22" s="40"/>
      <c r="B22" s="359"/>
      <c r="C22" s="359"/>
      <c r="D22" s="360"/>
      <c r="E22" s="397" t="s">
        <v>642</v>
      </c>
      <c r="F22" s="398"/>
      <c r="G22" s="398"/>
      <c r="H22" s="398"/>
      <c r="I22" s="399"/>
      <c r="J22" s="432" t="str">
        <f>IF(AND('Mapa final'!$I$20="Media",'Mapa final'!$M$20="Leve"),CONCATENATE("R",'Mapa final'!$B$20),"")</f>
        <v/>
      </c>
      <c r="K22" s="433"/>
      <c r="L22" s="433" t="str">
        <f>IF(AND('Mapa final'!$I$32="Media",'Mapa final'!$M$32="Leve"),CONCATENATE("R",'Mapa final'!$B$32),"")</f>
        <v/>
      </c>
      <c r="M22" s="433"/>
      <c r="N22" s="433" t="str">
        <f>IF(AND('Mapa final'!$I$36="Media",'Mapa final'!$M$36="Leve"),CONCATENATE("R",'Mapa final'!$B$36),"")</f>
        <v/>
      </c>
      <c r="O22" s="434"/>
      <c r="P22" s="432" t="str">
        <f>IF(AND('Mapa final'!$I$20="Media",'Mapa final'!$M$20="Menor"),CONCATENATE("R",'Mapa final'!$B$20),"")</f>
        <v/>
      </c>
      <c r="Q22" s="433"/>
      <c r="R22" s="433" t="str">
        <f>IF(AND('Mapa final'!$I$32="Media",'Mapa final'!$M$32="Menor"),CONCATENATE("R",'Mapa final'!$B$32),"")</f>
        <v/>
      </c>
      <c r="S22" s="433"/>
      <c r="T22" s="433" t="str">
        <f>IF(AND('Mapa final'!$I$36="Media",'Mapa final'!$M$36="Menor"),CONCATENATE("R",'Mapa final'!$B$36),"")</f>
        <v/>
      </c>
      <c r="U22" s="434"/>
      <c r="V22" s="432" t="str">
        <f>IF(AND('Mapa final'!$I$20="Media",'Mapa final'!$M$20="Moderado"),CONCATENATE("R",'Mapa final'!$B$20),"")</f>
        <v/>
      </c>
      <c r="W22" s="433"/>
      <c r="X22" s="433" t="str">
        <f>IF(AND('Mapa final'!$I$32="Media",'Mapa final'!$M$32="Moderado"),CONCATENATE("R",'Mapa final'!$B$32),"")</f>
        <v/>
      </c>
      <c r="Y22" s="433"/>
      <c r="Z22" s="433" t="str">
        <f>IF(AND('Mapa final'!$I$36="Media",'Mapa final'!$M$36="Moderado"),CONCATENATE("R",'Mapa final'!$B$36),"")</f>
        <v/>
      </c>
      <c r="AA22" s="434"/>
      <c r="AB22" s="408" t="str">
        <f>IF(AND('Mapa final'!$I$20="Media",'Mapa final'!$M$20="Mayor"),CONCATENATE("R",'Mapa final'!$B$20),"")</f>
        <v/>
      </c>
      <c r="AC22" s="409"/>
      <c r="AD22" s="409" t="str">
        <f>IF(AND('Mapa final'!$I$32="Media",'Mapa final'!$M$32="Mayor"),CONCATENATE("R",'Mapa final'!$B$32),"")</f>
        <v/>
      </c>
      <c r="AE22" s="409"/>
      <c r="AF22" s="409" t="str">
        <f>IF(AND('Mapa final'!$I$36="Media",'Mapa final'!$M$36="Mayor"),CONCATENATE("R",'Mapa final'!$B$36),"")</f>
        <v/>
      </c>
      <c r="AG22" s="411"/>
      <c r="AH22" s="423" t="str">
        <f>IF(AND('Mapa final'!$I$20="Media",'Mapa final'!$M$20="Catastrófico"),CONCATENATE("R",'Mapa final'!$B$20),"")</f>
        <v/>
      </c>
      <c r="AI22" s="424"/>
      <c r="AJ22" s="424" t="str">
        <f>IF(AND('Mapa final'!$I$32="Media",'Mapa final'!$M$32="Catastrófico"),CONCATENATE("R",'Mapa final'!$B$32),"")</f>
        <v/>
      </c>
      <c r="AK22" s="424"/>
      <c r="AL22" s="424" t="str">
        <f>IF(AND('Mapa final'!$I$36="Media",'Mapa final'!$M$36="Catastrófico"),CONCATENATE("R",'Mapa final'!$B$36),"")</f>
        <v/>
      </c>
      <c r="AM22" s="425"/>
      <c r="AN22" s="40"/>
      <c r="AO22" s="379" t="s">
        <v>643</v>
      </c>
      <c r="AP22" s="380"/>
      <c r="AQ22" s="380"/>
      <c r="AR22" s="380"/>
      <c r="AS22" s="380"/>
      <c r="AT22" s="381"/>
      <c r="AU22" s="40"/>
      <c r="AV22" s="40"/>
      <c r="AW22" s="40"/>
      <c r="AX22" s="40"/>
      <c r="AY22" s="40"/>
      <c r="AZ22" s="40"/>
      <c r="BA22" s="40"/>
      <c r="BB22" s="40"/>
      <c r="BC22" s="40"/>
      <c r="BD22" s="40"/>
      <c r="BE22" s="40"/>
      <c r="BF22" s="40"/>
      <c r="BG22" s="40"/>
      <c r="BH22" s="40"/>
      <c r="BI22" s="40"/>
      <c r="BJ22" s="40"/>
      <c r="BK22" s="40"/>
      <c r="BL22" s="40"/>
      <c r="BM22" s="40"/>
      <c r="BN22" s="40"/>
      <c r="BO22" s="40"/>
      <c r="BP22" s="40"/>
      <c r="BQ22" s="40"/>
      <c r="BR22" s="40"/>
      <c r="BS22" s="40"/>
      <c r="BT22" s="40"/>
      <c r="BU22" s="40"/>
      <c r="BV22" s="40"/>
      <c r="BW22" s="40"/>
      <c r="BX22" s="40"/>
      <c r="BY22" s="40"/>
      <c r="BZ22" s="40"/>
      <c r="CA22" s="40"/>
      <c r="CB22" s="40"/>
    </row>
    <row r="23" spans="1:80" x14ac:dyDescent="0.25">
      <c r="A23" s="40"/>
      <c r="B23" s="359"/>
      <c r="C23" s="359"/>
      <c r="D23" s="360"/>
      <c r="E23" s="400"/>
      <c r="F23" s="401"/>
      <c r="G23" s="401"/>
      <c r="H23" s="401"/>
      <c r="I23" s="402"/>
      <c r="J23" s="426"/>
      <c r="K23" s="427"/>
      <c r="L23" s="427"/>
      <c r="M23" s="427"/>
      <c r="N23" s="427"/>
      <c r="O23" s="428"/>
      <c r="P23" s="426"/>
      <c r="Q23" s="427"/>
      <c r="R23" s="427"/>
      <c r="S23" s="427"/>
      <c r="T23" s="427"/>
      <c r="U23" s="428"/>
      <c r="V23" s="426"/>
      <c r="W23" s="427"/>
      <c r="X23" s="427"/>
      <c r="Y23" s="427"/>
      <c r="Z23" s="427"/>
      <c r="AA23" s="428"/>
      <c r="AB23" s="410"/>
      <c r="AC23" s="406"/>
      <c r="AD23" s="406"/>
      <c r="AE23" s="406"/>
      <c r="AF23" s="406"/>
      <c r="AG23" s="407"/>
      <c r="AH23" s="417"/>
      <c r="AI23" s="418"/>
      <c r="AJ23" s="418"/>
      <c r="AK23" s="418"/>
      <c r="AL23" s="418"/>
      <c r="AM23" s="419"/>
      <c r="AN23" s="40"/>
      <c r="AO23" s="382"/>
      <c r="AP23" s="383"/>
      <c r="AQ23" s="383"/>
      <c r="AR23" s="383"/>
      <c r="AS23" s="383"/>
      <c r="AT23" s="384"/>
      <c r="AU23" s="40"/>
      <c r="AV23" s="40"/>
      <c r="AW23" s="40"/>
      <c r="AX23" s="40"/>
      <c r="AY23" s="40"/>
      <c r="AZ23" s="40"/>
      <c r="BA23" s="40"/>
      <c r="BB23" s="40"/>
      <c r="BC23" s="40"/>
      <c r="BD23" s="40"/>
      <c r="BE23" s="40"/>
      <c r="BF23" s="40"/>
      <c r="BG23" s="40"/>
      <c r="BH23" s="40"/>
      <c r="BI23" s="40"/>
      <c r="BJ23" s="40"/>
      <c r="BK23" s="40"/>
      <c r="BL23" s="40"/>
      <c r="BM23" s="40"/>
      <c r="BN23" s="40"/>
      <c r="BO23" s="40"/>
      <c r="BP23" s="40"/>
      <c r="BQ23" s="40"/>
      <c r="BR23" s="40"/>
      <c r="BS23" s="40"/>
      <c r="BT23" s="40"/>
      <c r="BU23" s="40"/>
      <c r="BV23" s="40"/>
      <c r="BW23" s="40"/>
      <c r="BX23" s="40"/>
      <c r="BY23" s="40"/>
      <c r="BZ23" s="40"/>
      <c r="CA23" s="40"/>
      <c r="CB23" s="40"/>
    </row>
    <row r="24" spans="1:80" x14ac:dyDescent="0.25">
      <c r="A24" s="40"/>
      <c r="B24" s="359"/>
      <c r="C24" s="359"/>
      <c r="D24" s="360"/>
      <c r="E24" s="400"/>
      <c r="F24" s="401"/>
      <c r="G24" s="401"/>
      <c r="H24" s="401"/>
      <c r="I24" s="402"/>
      <c r="J24" s="426" t="str">
        <f>IF(AND('Mapa final'!$I$42="Media",'Mapa final'!$M$42="Leve"),CONCATENATE("R",'Mapa final'!$B$42),"")</f>
        <v/>
      </c>
      <c r="K24" s="427"/>
      <c r="L24" s="427" t="str">
        <f>IF(AND('Mapa final'!$I$48="Media",'Mapa final'!$M$48="Leve"),CONCATENATE("R",'Mapa final'!$B$48),"")</f>
        <v/>
      </c>
      <c r="M24" s="427"/>
      <c r="N24" s="427" t="str">
        <f>IF(AND('Mapa final'!$I$54="Media",'Mapa final'!$M$54="Leve"),CONCATENATE("R",'Mapa final'!$B$54),"")</f>
        <v/>
      </c>
      <c r="O24" s="428"/>
      <c r="P24" s="426" t="str">
        <f>IF(AND('Mapa final'!$I$42="Media",'Mapa final'!$M$42="Menor"),CONCATENATE("R",'Mapa final'!$B$42),"")</f>
        <v/>
      </c>
      <c r="Q24" s="427"/>
      <c r="R24" s="427" t="str">
        <f>IF(AND('Mapa final'!$I$48="Media",'Mapa final'!$M$48="Menor"),CONCATENATE("R",'Mapa final'!$B$48),"")</f>
        <v/>
      </c>
      <c r="S24" s="427"/>
      <c r="T24" s="427" t="str">
        <f>IF(AND('Mapa final'!$I$54="Media",'Mapa final'!$M$54="Menor"),CONCATENATE("R",'Mapa final'!$B$54),"")</f>
        <v/>
      </c>
      <c r="U24" s="428"/>
      <c r="V24" s="426" t="str">
        <f>IF(AND('Mapa final'!$I$42="Media",'Mapa final'!$M$42="Moderado"),CONCATENATE("R",'Mapa final'!$B$42),"")</f>
        <v/>
      </c>
      <c r="W24" s="427"/>
      <c r="X24" s="427" t="str">
        <f>IF(AND('Mapa final'!$I$48="Media",'Mapa final'!$M$48="Moderado"),CONCATENATE("R",'Mapa final'!$B$48),"")</f>
        <v/>
      </c>
      <c r="Y24" s="427"/>
      <c r="Z24" s="427" t="str">
        <f>IF(AND('Mapa final'!$I$54="Media",'Mapa final'!$M$54="Moderado"),CONCATENATE("R",'Mapa final'!$B$54),"")</f>
        <v/>
      </c>
      <c r="AA24" s="428"/>
      <c r="AB24" s="410" t="str">
        <f>IF(AND('Mapa final'!$I$42="Media",'Mapa final'!$M$42="Mayor"),CONCATENATE("R",'Mapa final'!$B$42),"")</f>
        <v/>
      </c>
      <c r="AC24" s="406"/>
      <c r="AD24" s="406" t="str">
        <f>IF(AND('Mapa final'!$I$48="Media",'Mapa final'!$M$48="Mayor"),CONCATENATE("R",'Mapa final'!$B$48),"")</f>
        <v/>
      </c>
      <c r="AE24" s="406"/>
      <c r="AF24" s="406" t="str">
        <f>IF(AND('Mapa final'!$I$54="Media",'Mapa final'!$M$54="Mayor"),CONCATENATE("R",'Mapa final'!$B$54),"")</f>
        <v/>
      </c>
      <c r="AG24" s="407"/>
      <c r="AH24" s="417" t="str">
        <f>IF(AND('Mapa final'!$I$42="Media",'Mapa final'!$M$42="Catastrófico"),CONCATENATE("R",'Mapa final'!$B$42),"")</f>
        <v/>
      </c>
      <c r="AI24" s="418"/>
      <c r="AJ24" s="418" t="str">
        <f>IF(AND('Mapa final'!$I$48="Media",'Mapa final'!$M$48="Catastrófico"),CONCATENATE("R",'Mapa final'!$B$48),"")</f>
        <v/>
      </c>
      <c r="AK24" s="418"/>
      <c r="AL24" s="418" t="str">
        <f>IF(AND('Mapa final'!$I$54="Media",'Mapa final'!$M$54="Catastrófico"),CONCATENATE("R",'Mapa final'!$B$54),"")</f>
        <v/>
      </c>
      <c r="AM24" s="419"/>
      <c r="AN24" s="40"/>
      <c r="AO24" s="382"/>
      <c r="AP24" s="383"/>
      <c r="AQ24" s="383"/>
      <c r="AR24" s="383"/>
      <c r="AS24" s="383"/>
      <c r="AT24" s="384"/>
      <c r="AU24" s="40"/>
      <c r="AV24" s="40"/>
      <c r="AW24" s="40"/>
      <c r="AX24" s="40"/>
      <c r="AY24" s="40"/>
      <c r="AZ24" s="40"/>
      <c r="BA24" s="40"/>
      <c r="BB24" s="40"/>
      <c r="BC24" s="40"/>
      <c r="BD24" s="40"/>
      <c r="BE24" s="40"/>
      <c r="BF24" s="40"/>
      <c r="BG24" s="40"/>
      <c r="BH24" s="40"/>
      <c r="BI24" s="40"/>
      <c r="BJ24" s="40"/>
      <c r="BK24" s="40"/>
      <c r="BL24" s="40"/>
      <c r="BM24" s="40"/>
      <c r="BN24" s="40"/>
      <c r="BO24" s="40"/>
      <c r="BP24" s="40"/>
      <c r="BQ24" s="40"/>
      <c r="BR24" s="40"/>
      <c r="BS24" s="40"/>
      <c r="BT24" s="40"/>
      <c r="BU24" s="40"/>
      <c r="BV24" s="40"/>
      <c r="BW24" s="40"/>
      <c r="BX24" s="40"/>
      <c r="BY24" s="40"/>
      <c r="BZ24" s="40"/>
      <c r="CA24" s="40"/>
      <c r="CB24" s="40"/>
    </row>
    <row r="25" spans="1:80" x14ac:dyDescent="0.25">
      <c r="A25" s="40"/>
      <c r="B25" s="359"/>
      <c r="C25" s="359"/>
      <c r="D25" s="360"/>
      <c r="E25" s="400"/>
      <c r="F25" s="401"/>
      <c r="G25" s="401"/>
      <c r="H25" s="401"/>
      <c r="I25" s="402"/>
      <c r="J25" s="426"/>
      <c r="K25" s="427"/>
      <c r="L25" s="427"/>
      <c r="M25" s="427"/>
      <c r="N25" s="427"/>
      <c r="O25" s="428"/>
      <c r="P25" s="426"/>
      <c r="Q25" s="427"/>
      <c r="R25" s="427"/>
      <c r="S25" s="427"/>
      <c r="T25" s="427"/>
      <c r="U25" s="428"/>
      <c r="V25" s="426"/>
      <c r="W25" s="427"/>
      <c r="X25" s="427"/>
      <c r="Y25" s="427"/>
      <c r="Z25" s="427"/>
      <c r="AA25" s="428"/>
      <c r="AB25" s="410"/>
      <c r="AC25" s="406"/>
      <c r="AD25" s="406"/>
      <c r="AE25" s="406"/>
      <c r="AF25" s="406"/>
      <c r="AG25" s="407"/>
      <c r="AH25" s="417"/>
      <c r="AI25" s="418"/>
      <c r="AJ25" s="418"/>
      <c r="AK25" s="418"/>
      <c r="AL25" s="418"/>
      <c r="AM25" s="419"/>
      <c r="AN25" s="40"/>
      <c r="AO25" s="382"/>
      <c r="AP25" s="383"/>
      <c r="AQ25" s="383"/>
      <c r="AR25" s="383"/>
      <c r="AS25" s="383"/>
      <c r="AT25" s="384"/>
      <c r="AU25" s="40"/>
      <c r="AV25" s="40"/>
      <c r="AW25" s="40"/>
      <c r="AX25" s="40"/>
      <c r="AY25" s="40"/>
      <c r="AZ25" s="40"/>
      <c r="BA25" s="40"/>
      <c r="BB25" s="40"/>
      <c r="BC25" s="40"/>
      <c r="BD25" s="40"/>
      <c r="BE25" s="40"/>
      <c r="BF25" s="40"/>
      <c r="BG25" s="40"/>
      <c r="BH25" s="40"/>
      <c r="BI25" s="40"/>
      <c r="BJ25" s="40"/>
      <c r="BK25" s="40"/>
      <c r="BL25" s="40"/>
      <c r="BM25" s="40"/>
      <c r="BN25" s="40"/>
      <c r="BO25" s="40"/>
      <c r="BP25" s="40"/>
      <c r="BQ25" s="40"/>
      <c r="BR25" s="40"/>
      <c r="BS25" s="40"/>
      <c r="BT25" s="40"/>
      <c r="BU25" s="40"/>
      <c r="BV25" s="40"/>
      <c r="BW25" s="40"/>
      <c r="BX25" s="40"/>
      <c r="BY25" s="40"/>
      <c r="BZ25" s="40"/>
      <c r="CA25" s="40"/>
      <c r="CB25" s="40"/>
    </row>
    <row r="26" spans="1:80" x14ac:dyDescent="0.25">
      <c r="A26" s="40"/>
      <c r="B26" s="359"/>
      <c r="C26" s="359"/>
      <c r="D26" s="360"/>
      <c r="E26" s="400"/>
      <c r="F26" s="401"/>
      <c r="G26" s="401"/>
      <c r="H26" s="401"/>
      <c r="I26" s="402"/>
      <c r="J26" s="426" t="str">
        <f>IF(AND('Mapa final'!$I$60="Media",'Mapa final'!$M$60="Leve"),CONCATENATE("R",'Mapa final'!$B$60),"")</f>
        <v/>
      </c>
      <c r="K26" s="427"/>
      <c r="L26" s="427" t="str">
        <f>IF(AND('Mapa final'!$I$66="Media",'Mapa final'!$M$66="Leve"),CONCATENATE("R",'Mapa final'!$B$66),"")</f>
        <v/>
      </c>
      <c r="M26" s="427"/>
      <c r="N26" s="427" t="str">
        <f>IF(AND('Mapa final'!$I$72="Media",'Mapa final'!$M$72="Leve"),CONCATENATE("R",'Mapa final'!$B$72),"")</f>
        <v/>
      </c>
      <c r="O26" s="428"/>
      <c r="P26" s="426" t="str">
        <f>IF(AND('Mapa final'!$I$60="Media",'Mapa final'!$M$60="Menor"),CONCATENATE("R",'Mapa final'!$B$60),"")</f>
        <v/>
      </c>
      <c r="Q26" s="427"/>
      <c r="R26" s="427" t="str">
        <f>IF(AND('Mapa final'!$I$66="Media",'Mapa final'!$M$66="Menor"),CONCATENATE("R",'Mapa final'!$B$66),"")</f>
        <v/>
      </c>
      <c r="S26" s="427"/>
      <c r="T26" s="427" t="str">
        <f>IF(AND('Mapa final'!$I$72="Media",'Mapa final'!$M$72="Menor"),CONCATENATE("R",'Mapa final'!$B$72),"")</f>
        <v/>
      </c>
      <c r="U26" s="428"/>
      <c r="V26" s="426" t="str">
        <f>IF(AND('Mapa final'!$I$60="Media",'Mapa final'!$M$60="Moderado"),CONCATENATE("R",'Mapa final'!$B$60),"")</f>
        <v/>
      </c>
      <c r="W26" s="427"/>
      <c r="X26" s="427" t="str">
        <f>IF(AND('Mapa final'!$I$66="Media",'Mapa final'!$M$66="Moderado"),CONCATENATE("R",'Mapa final'!$B$66),"")</f>
        <v/>
      </c>
      <c r="Y26" s="427"/>
      <c r="Z26" s="427" t="str">
        <f>IF(AND('Mapa final'!$I$72="Media",'Mapa final'!$M$72="Moderado"),CONCATENATE("R",'Mapa final'!$B$72),"")</f>
        <v/>
      </c>
      <c r="AA26" s="428"/>
      <c r="AB26" s="410" t="str">
        <f>IF(AND('Mapa final'!$I$60="Media",'Mapa final'!$M$60="Mayor"),CONCATENATE("R",'Mapa final'!$B$60),"")</f>
        <v/>
      </c>
      <c r="AC26" s="406"/>
      <c r="AD26" s="406" t="str">
        <f>IF(AND('Mapa final'!$I$66="Media",'Mapa final'!$M$66="Mayor"),CONCATENATE("R",'Mapa final'!$B$66),"")</f>
        <v/>
      </c>
      <c r="AE26" s="406"/>
      <c r="AF26" s="406" t="str">
        <f>IF(AND('Mapa final'!$I$72="Media",'Mapa final'!$M$72="Mayor"),CONCATENATE("R",'Mapa final'!$B$72),"")</f>
        <v/>
      </c>
      <c r="AG26" s="407"/>
      <c r="AH26" s="417" t="str">
        <f>IF(AND('Mapa final'!$I$60="Media",'Mapa final'!$M$60="Catastrófico"),CONCATENATE("R",'Mapa final'!$B$60),"")</f>
        <v/>
      </c>
      <c r="AI26" s="418"/>
      <c r="AJ26" s="418" t="str">
        <f>IF(AND('Mapa final'!$I$66="Media",'Mapa final'!$M$66="Catastrófico"),CONCATENATE("R",'Mapa final'!$B$66),"")</f>
        <v/>
      </c>
      <c r="AK26" s="418"/>
      <c r="AL26" s="418" t="str">
        <f>IF(AND('Mapa final'!$I$72="Media",'Mapa final'!$M$72="Catastrófico"),CONCATENATE("R",'Mapa final'!$B$72),"")</f>
        <v/>
      </c>
      <c r="AM26" s="419"/>
      <c r="AN26" s="40"/>
      <c r="AO26" s="382"/>
      <c r="AP26" s="383"/>
      <c r="AQ26" s="383"/>
      <c r="AR26" s="383"/>
      <c r="AS26" s="383"/>
      <c r="AT26" s="384"/>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c r="BY26" s="40"/>
      <c r="BZ26" s="40"/>
      <c r="CA26" s="40"/>
      <c r="CB26" s="40"/>
    </row>
    <row r="27" spans="1:80" x14ac:dyDescent="0.25">
      <c r="A27" s="40"/>
      <c r="B27" s="359"/>
      <c r="C27" s="359"/>
      <c r="D27" s="360"/>
      <c r="E27" s="400"/>
      <c r="F27" s="401"/>
      <c r="G27" s="401"/>
      <c r="H27" s="401"/>
      <c r="I27" s="402"/>
      <c r="J27" s="426"/>
      <c r="K27" s="427"/>
      <c r="L27" s="427"/>
      <c r="M27" s="427"/>
      <c r="N27" s="427"/>
      <c r="O27" s="428"/>
      <c r="P27" s="426"/>
      <c r="Q27" s="427"/>
      <c r="R27" s="427"/>
      <c r="S27" s="427"/>
      <c r="T27" s="427"/>
      <c r="U27" s="428"/>
      <c r="V27" s="426"/>
      <c r="W27" s="427"/>
      <c r="X27" s="427"/>
      <c r="Y27" s="427"/>
      <c r="Z27" s="427"/>
      <c r="AA27" s="428"/>
      <c r="AB27" s="410"/>
      <c r="AC27" s="406"/>
      <c r="AD27" s="406"/>
      <c r="AE27" s="406"/>
      <c r="AF27" s="406"/>
      <c r="AG27" s="407"/>
      <c r="AH27" s="417"/>
      <c r="AI27" s="418"/>
      <c r="AJ27" s="418"/>
      <c r="AK27" s="418"/>
      <c r="AL27" s="418"/>
      <c r="AM27" s="419"/>
      <c r="AN27" s="40"/>
      <c r="AO27" s="382"/>
      <c r="AP27" s="383"/>
      <c r="AQ27" s="383"/>
      <c r="AR27" s="383"/>
      <c r="AS27" s="383"/>
      <c r="AT27" s="384"/>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row>
    <row r="28" spans="1:80" x14ac:dyDescent="0.25">
      <c r="A28" s="40"/>
      <c r="B28" s="359"/>
      <c r="C28" s="359"/>
      <c r="D28" s="360"/>
      <c r="E28" s="400"/>
      <c r="F28" s="401"/>
      <c r="G28" s="401"/>
      <c r="H28" s="401"/>
      <c r="I28" s="402"/>
      <c r="J28" s="426" t="str">
        <f>IF(AND('Mapa final'!$I$78="Media",'Mapa final'!$M$78="Leve"),CONCATENATE("R",'Mapa final'!$B$78),"")</f>
        <v/>
      </c>
      <c r="K28" s="427"/>
      <c r="L28" s="427" t="str">
        <f>IF(AND('Mapa final'!$I$315="Media",'Mapa final'!$M$315="Leve"),CONCATENATE("R",'Mapa final'!#REF!),"")</f>
        <v/>
      </c>
      <c r="M28" s="427"/>
      <c r="N28" s="427" t="str">
        <f>IF(AND('Mapa final'!$I$321="Media",'Mapa final'!$M$321="Leve"),CONCATENATE("R",'Mapa final'!$B$321),"")</f>
        <v/>
      </c>
      <c r="O28" s="428"/>
      <c r="P28" s="426" t="str">
        <f>IF(AND('Mapa final'!$I$78="Media",'Mapa final'!$M$78="Menor"),CONCATENATE("R",'Mapa final'!$B$78),"")</f>
        <v/>
      </c>
      <c r="Q28" s="427"/>
      <c r="R28" s="427" t="str">
        <f>IF(AND('Mapa final'!$I$315="Media",'Mapa final'!$M$315="Menor"),CONCATENATE("R",'Mapa final'!#REF!),"")</f>
        <v/>
      </c>
      <c r="S28" s="427"/>
      <c r="T28" s="427" t="str">
        <f>IF(AND('Mapa final'!$I$321="Media",'Mapa final'!$M$321="Menor"),CONCATENATE("R",'Mapa final'!$B$321),"")</f>
        <v/>
      </c>
      <c r="U28" s="428"/>
      <c r="V28" s="426" t="str">
        <f>IF(AND('Mapa final'!$I$78="Media",'Mapa final'!$M$78="Moderado"),CONCATENATE("R",'Mapa final'!$B$78),"")</f>
        <v/>
      </c>
      <c r="W28" s="427"/>
      <c r="X28" s="427" t="str">
        <f>IF(AND('Mapa final'!$I$315="Media",'Mapa final'!$M$315="Moderado"),CONCATENATE("R",'Mapa final'!#REF!),"")</f>
        <v/>
      </c>
      <c r="Y28" s="427"/>
      <c r="Z28" s="427" t="str">
        <f>IF(AND('Mapa final'!$I$321="Media",'Mapa final'!$M$321="Moderado"),CONCATENATE("R",'Mapa final'!$B$321),"")</f>
        <v/>
      </c>
      <c r="AA28" s="428"/>
      <c r="AB28" s="410" t="str">
        <f>IF(AND('Mapa final'!$I$78="Media",'Mapa final'!$M$78="Mayor"),CONCATENATE("R",'Mapa final'!$B$78),"")</f>
        <v/>
      </c>
      <c r="AC28" s="406"/>
      <c r="AD28" s="406" t="str">
        <f>IF(AND('Mapa final'!$I$315="Media",'Mapa final'!$M$315="Mayor"),CONCATENATE("R",'Mapa final'!#REF!),"")</f>
        <v/>
      </c>
      <c r="AE28" s="406"/>
      <c r="AF28" s="406" t="str">
        <f>IF(AND('Mapa final'!$I$321="Media",'Mapa final'!$M$321="Mayor"),CONCATENATE("R",'Mapa final'!$B$321),"")</f>
        <v/>
      </c>
      <c r="AG28" s="407"/>
      <c r="AH28" s="417" t="str">
        <f>IF(AND('Mapa final'!$I$78="Media",'Mapa final'!$M$78="Catastrófico"),CONCATENATE("R",'Mapa final'!$B$78),"")</f>
        <v/>
      </c>
      <c r="AI28" s="418"/>
      <c r="AJ28" s="418" t="str">
        <f>IF(AND('Mapa final'!$I$315="Media",'Mapa final'!$M$315="Catastrófico"),CONCATENATE("R",'Mapa final'!#REF!),"")</f>
        <v/>
      </c>
      <c r="AK28" s="418"/>
      <c r="AL28" s="418" t="str">
        <f>IF(AND('Mapa final'!$I$321="Media",'Mapa final'!$M$321="Catastrófico"),CONCATENATE("R",'Mapa final'!$B$321),"")</f>
        <v/>
      </c>
      <c r="AM28" s="419"/>
      <c r="AN28" s="40"/>
      <c r="AO28" s="382"/>
      <c r="AP28" s="383"/>
      <c r="AQ28" s="383"/>
      <c r="AR28" s="383"/>
      <c r="AS28" s="383"/>
      <c r="AT28" s="384"/>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row>
    <row r="29" spans="1:80" ht="15.75" thickBot="1" x14ac:dyDescent="0.3">
      <c r="A29" s="40"/>
      <c r="B29" s="359"/>
      <c r="C29" s="359"/>
      <c r="D29" s="360"/>
      <c r="E29" s="403"/>
      <c r="F29" s="404"/>
      <c r="G29" s="404"/>
      <c r="H29" s="404"/>
      <c r="I29" s="405"/>
      <c r="J29" s="426"/>
      <c r="K29" s="427"/>
      <c r="L29" s="427"/>
      <c r="M29" s="427"/>
      <c r="N29" s="427"/>
      <c r="O29" s="428"/>
      <c r="P29" s="429"/>
      <c r="Q29" s="430"/>
      <c r="R29" s="430"/>
      <c r="S29" s="430"/>
      <c r="T29" s="430"/>
      <c r="U29" s="431"/>
      <c r="V29" s="429"/>
      <c r="W29" s="430"/>
      <c r="X29" s="430"/>
      <c r="Y29" s="430"/>
      <c r="Z29" s="430"/>
      <c r="AA29" s="431"/>
      <c r="AB29" s="414"/>
      <c r="AC29" s="415"/>
      <c r="AD29" s="415"/>
      <c r="AE29" s="415"/>
      <c r="AF29" s="415"/>
      <c r="AG29" s="416"/>
      <c r="AH29" s="420"/>
      <c r="AI29" s="421"/>
      <c r="AJ29" s="421"/>
      <c r="AK29" s="421"/>
      <c r="AL29" s="421"/>
      <c r="AM29" s="422"/>
      <c r="AN29" s="40"/>
      <c r="AO29" s="385"/>
      <c r="AP29" s="386"/>
      <c r="AQ29" s="386"/>
      <c r="AR29" s="386"/>
      <c r="AS29" s="386"/>
      <c r="AT29" s="387"/>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row>
    <row r="30" spans="1:80" x14ac:dyDescent="0.25">
      <c r="A30" s="40"/>
      <c r="B30" s="359"/>
      <c r="C30" s="359"/>
      <c r="D30" s="360"/>
      <c r="E30" s="397" t="s">
        <v>644</v>
      </c>
      <c r="F30" s="398"/>
      <c r="G30" s="398"/>
      <c r="H30" s="398"/>
      <c r="I30" s="398"/>
      <c r="J30" s="441" t="str">
        <f>IF(AND('Mapa final'!$I$20="Baja",'Mapa final'!$M$20="Leve"),CONCATENATE("R",'Mapa final'!$B$20),"")</f>
        <v/>
      </c>
      <c r="K30" s="442"/>
      <c r="L30" s="442" t="str">
        <f>IF(AND('Mapa final'!$I$32="Baja",'Mapa final'!$M$32="Leve"),CONCATENATE("R",'Mapa final'!$B$32),"")</f>
        <v/>
      </c>
      <c r="M30" s="442"/>
      <c r="N30" s="442" t="str">
        <f>IF(AND('Mapa final'!$I$36="Baja",'Mapa final'!$M$36="Leve"),CONCATENATE("R",'Mapa final'!$B$36),"")</f>
        <v/>
      </c>
      <c r="O30" s="443"/>
      <c r="P30" s="433" t="str">
        <f>IF(AND('Mapa final'!$I$20="Baja",'Mapa final'!$M$20="Menor"),CONCATENATE("R",'Mapa final'!$B$20),"")</f>
        <v/>
      </c>
      <c r="Q30" s="433"/>
      <c r="R30" s="433" t="str">
        <f>IF(AND('Mapa final'!$I$32="Baja",'Mapa final'!$M$32="Menor"),CONCATENATE("R",'Mapa final'!$B$32),"")</f>
        <v/>
      </c>
      <c r="S30" s="433"/>
      <c r="T30" s="433" t="str">
        <f>IF(AND('Mapa final'!$I$36="Baja",'Mapa final'!$M$36="Menor"),CONCATENATE("R",'Mapa final'!$B$36),"")</f>
        <v/>
      </c>
      <c r="U30" s="434"/>
      <c r="V30" s="432" t="str">
        <f>IF(AND('Mapa final'!$I$20="Baja",'Mapa final'!$M$20="Moderado"),CONCATENATE("R",'Mapa final'!$B$20),"")</f>
        <v/>
      </c>
      <c r="W30" s="433"/>
      <c r="X30" s="433" t="str">
        <f>IF(AND('Mapa final'!$I$32="Baja",'Mapa final'!$M$32="Moderado"),CONCATENATE("R",'Mapa final'!$B$32),"")</f>
        <v/>
      </c>
      <c r="Y30" s="433"/>
      <c r="Z30" s="433" t="str">
        <f>IF(AND('Mapa final'!$I$36="Baja",'Mapa final'!$M$36="Moderado"),CONCATENATE("R",'Mapa final'!$B$36),"")</f>
        <v/>
      </c>
      <c r="AA30" s="434"/>
      <c r="AB30" s="408" t="str">
        <f>IF(AND('Mapa final'!$I$20="Baja",'Mapa final'!$M$20="Mayor"),CONCATENATE("R",'Mapa final'!$B$20),"")</f>
        <v/>
      </c>
      <c r="AC30" s="409"/>
      <c r="AD30" s="409" t="str">
        <f>IF(AND('Mapa final'!$I$32="Baja",'Mapa final'!$M$32="Mayor"),CONCATENATE("R",'Mapa final'!$B$32),"")</f>
        <v/>
      </c>
      <c r="AE30" s="409"/>
      <c r="AF30" s="409" t="str">
        <f>IF(AND('Mapa final'!$I$36="Baja",'Mapa final'!$M$36="Mayor"),CONCATENATE("R",'Mapa final'!$B$36),"")</f>
        <v/>
      </c>
      <c r="AG30" s="411"/>
      <c r="AH30" s="423" t="str">
        <f>IF(AND('Mapa final'!$I$20="Baja",'Mapa final'!$M$20="Catastrófico"),CONCATENATE("R",'Mapa final'!$B$20),"")</f>
        <v/>
      </c>
      <c r="AI30" s="424"/>
      <c r="AJ30" s="424" t="str">
        <f>IF(AND('Mapa final'!$I$32="Baja",'Mapa final'!$M$32="Catastrófico"),CONCATENATE("R",'Mapa final'!$B$32),"")</f>
        <v/>
      </c>
      <c r="AK30" s="424"/>
      <c r="AL30" s="424" t="str">
        <f>IF(AND('Mapa final'!$I$36="Baja",'Mapa final'!$M$36="Catastrófico"),CONCATENATE("R",'Mapa final'!$B$36),"")</f>
        <v/>
      </c>
      <c r="AM30" s="425"/>
      <c r="AN30" s="40"/>
      <c r="AO30" s="388" t="s">
        <v>645</v>
      </c>
      <c r="AP30" s="389"/>
      <c r="AQ30" s="389"/>
      <c r="AR30" s="389"/>
      <c r="AS30" s="389"/>
      <c r="AT30" s="39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row>
    <row r="31" spans="1:80" x14ac:dyDescent="0.25">
      <c r="A31" s="40"/>
      <c r="B31" s="359"/>
      <c r="C31" s="359"/>
      <c r="D31" s="360"/>
      <c r="E31" s="400"/>
      <c r="F31" s="401"/>
      <c r="G31" s="401"/>
      <c r="H31" s="401"/>
      <c r="I31" s="401"/>
      <c r="J31" s="437"/>
      <c r="K31" s="435"/>
      <c r="L31" s="435"/>
      <c r="M31" s="435"/>
      <c r="N31" s="435"/>
      <c r="O31" s="436"/>
      <c r="P31" s="427"/>
      <c r="Q31" s="427"/>
      <c r="R31" s="427"/>
      <c r="S31" s="427"/>
      <c r="T31" s="427"/>
      <c r="U31" s="428"/>
      <c r="V31" s="426"/>
      <c r="W31" s="427"/>
      <c r="X31" s="427"/>
      <c r="Y31" s="427"/>
      <c r="Z31" s="427"/>
      <c r="AA31" s="428"/>
      <c r="AB31" s="410"/>
      <c r="AC31" s="406"/>
      <c r="AD31" s="406"/>
      <c r="AE31" s="406"/>
      <c r="AF31" s="406"/>
      <c r="AG31" s="407"/>
      <c r="AH31" s="417"/>
      <c r="AI31" s="418"/>
      <c r="AJ31" s="418"/>
      <c r="AK31" s="418"/>
      <c r="AL31" s="418"/>
      <c r="AM31" s="419"/>
      <c r="AN31" s="40"/>
      <c r="AO31" s="391"/>
      <c r="AP31" s="392"/>
      <c r="AQ31" s="392"/>
      <c r="AR31" s="392"/>
      <c r="AS31" s="392"/>
      <c r="AT31" s="393"/>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row>
    <row r="32" spans="1:80" x14ac:dyDescent="0.25">
      <c r="A32" s="40"/>
      <c r="B32" s="359"/>
      <c r="C32" s="359"/>
      <c r="D32" s="360"/>
      <c r="E32" s="400"/>
      <c r="F32" s="401"/>
      <c r="G32" s="401"/>
      <c r="H32" s="401"/>
      <c r="I32" s="401"/>
      <c r="J32" s="437" t="str">
        <f>IF(AND('Mapa final'!$I$42="Baja",'Mapa final'!$M$42="Leve"),CONCATENATE("R",'Mapa final'!$B$42),"")</f>
        <v/>
      </c>
      <c r="K32" s="435"/>
      <c r="L32" s="435" t="str">
        <f>IF(AND('Mapa final'!$I$48="Baja",'Mapa final'!$M$48="Leve"),CONCATENATE("R",'Mapa final'!$B$48),"")</f>
        <v/>
      </c>
      <c r="M32" s="435"/>
      <c r="N32" s="435" t="str">
        <f>IF(AND('Mapa final'!$I$54="Baja",'Mapa final'!$M$54="Leve"),CONCATENATE("R",'Mapa final'!$B$54),"")</f>
        <v/>
      </c>
      <c r="O32" s="436"/>
      <c r="P32" s="427" t="str">
        <f>IF(AND('Mapa final'!$I$42="Baja",'Mapa final'!$M$42="Menor"),CONCATENATE("R",'Mapa final'!$B$42),"")</f>
        <v/>
      </c>
      <c r="Q32" s="427"/>
      <c r="R32" s="427" t="str">
        <f>IF(AND('Mapa final'!$I$48="Baja",'Mapa final'!$M$48="Menor"),CONCATENATE("R",'Mapa final'!$B$48),"")</f>
        <v/>
      </c>
      <c r="S32" s="427"/>
      <c r="T32" s="427" t="str">
        <f>IF(AND('Mapa final'!$I$54="Baja",'Mapa final'!$M$54="Menor"),CONCATENATE("R",'Mapa final'!$B$54),"")</f>
        <v/>
      </c>
      <c r="U32" s="428"/>
      <c r="V32" s="426" t="str">
        <f>IF(AND('Mapa final'!$I$42="Baja",'Mapa final'!$M$42="Moderado"),CONCATENATE("R",'Mapa final'!$B$42),"")</f>
        <v/>
      </c>
      <c r="W32" s="427"/>
      <c r="X32" s="427" t="str">
        <f>IF(AND('Mapa final'!$I$48="Baja",'Mapa final'!$M$48="Moderado"),CONCATENATE("R",'Mapa final'!$B$48),"")</f>
        <v/>
      </c>
      <c r="Y32" s="427"/>
      <c r="Z32" s="427" t="str">
        <f>IF(AND('Mapa final'!$I$54="Baja",'Mapa final'!$M$54="Moderado"),CONCATENATE("R",'Mapa final'!$B$54),"")</f>
        <v/>
      </c>
      <c r="AA32" s="428"/>
      <c r="AB32" s="410" t="str">
        <f>IF(AND('Mapa final'!$I$42="Baja",'Mapa final'!$M$42="Mayor"),CONCATENATE("R",'Mapa final'!$B$42),"")</f>
        <v/>
      </c>
      <c r="AC32" s="406"/>
      <c r="AD32" s="406" t="str">
        <f>IF(AND('Mapa final'!$I$48="Baja",'Mapa final'!$M$48="Mayor"),CONCATENATE("R",'Mapa final'!$B$48),"")</f>
        <v/>
      </c>
      <c r="AE32" s="406"/>
      <c r="AF32" s="406" t="str">
        <f>IF(AND('Mapa final'!$I$54="Baja",'Mapa final'!$M$54="Mayor"),CONCATENATE("R",'Mapa final'!$B$54),"")</f>
        <v/>
      </c>
      <c r="AG32" s="407"/>
      <c r="AH32" s="417" t="str">
        <f>IF(AND('Mapa final'!$I$42="Baja",'Mapa final'!$M$42="Catastrófico"),CONCATENATE("R",'Mapa final'!$B$42),"")</f>
        <v/>
      </c>
      <c r="AI32" s="418"/>
      <c r="AJ32" s="418" t="str">
        <f>IF(AND('Mapa final'!$I$48="Baja",'Mapa final'!$M$48="Catastrófico"),CONCATENATE("R",'Mapa final'!$B$48),"")</f>
        <v/>
      </c>
      <c r="AK32" s="418"/>
      <c r="AL32" s="418" t="str">
        <f>IF(AND('Mapa final'!$I$54="Baja",'Mapa final'!$M$54="Catastrófico"),CONCATENATE("R",'Mapa final'!$B$54),"")</f>
        <v/>
      </c>
      <c r="AM32" s="419"/>
      <c r="AN32" s="40"/>
      <c r="AO32" s="391"/>
      <c r="AP32" s="392"/>
      <c r="AQ32" s="392"/>
      <c r="AR32" s="392"/>
      <c r="AS32" s="392"/>
      <c r="AT32" s="393"/>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row>
    <row r="33" spans="1:80" x14ac:dyDescent="0.25">
      <c r="A33" s="40"/>
      <c r="B33" s="359"/>
      <c r="C33" s="359"/>
      <c r="D33" s="360"/>
      <c r="E33" s="400"/>
      <c r="F33" s="401"/>
      <c r="G33" s="401"/>
      <c r="H33" s="401"/>
      <c r="I33" s="401"/>
      <c r="J33" s="437"/>
      <c r="K33" s="435"/>
      <c r="L33" s="435"/>
      <c r="M33" s="435"/>
      <c r="N33" s="435"/>
      <c r="O33" s="436"/>
      <c r="P33" s="427"/>
      <c r="Q33" s="427"/>
      <c r="R33" s="427"/>
      <c r="S33" s="427"/>
      <c r="T33" s="427"/>
      <c r="U33" s="428"/>
      <c r="V33" s="426"/>
      <c r="W33" s="427"/>
      <c r="X33" s="427"/>
      <c r="Y33" s="427"/>
      <c r="Z33" s="427"/>
      <c r="AA33" s="428"/>
      <c r="AB33" s="410"/>
      <c r="AC33" s="406"/>
      <c r="AD33" s="406"/>
      <c r="AE33" s="406"/>
      <c r="AF33" s="406"/>
      <c r="AG33" s="407"/>
      <c r="AH33" s="417"/>
      <c r="AI33" s="418"/>
      <c r="AJ33" s="418"/>
      <c r="AK33" s="418"/>
      <c r="AL33" s="418"/>
      <c r="AM33" s="419"/>
      <c r="AN33" s="40"/>
      <c r="AO33" s="391"/>
      <c r="AP33" s="392"/>
      <c r="AQ33" s="392"/>
      <c r="AR33" s="392"/>
      <c r="AS33" s="392"/>
      <c r="AT33" s="393"/>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row>
    <row r="34" spans="1:80" x14ac:dyDescent="0.25">
      <c r="A34" s="40"/>
      <c r="B34" s="359"/>
      <c r="C34" s="359"/>
      <c r="D34" s="360"/>
      <c r="E34" s="400"/>
      <c r="F34" s="401"/>
      <c r="G34" s="401"/>
      <c r="H34" s="401"/>
      <c r="I34" s="401"/>
      <c r="J34" s="437" t="str">
        <f>IF(AND('Mapa final'!$I$60="Baja",'Mapa final'!$M$60="Leve"),CONCATENATE("R",'Mapa final'!$B$60),"")</f>
        <v/>
      </c>
      <c r="K34" s="435"/>
      <c r="L34" s="435" t="str">
        <f>IF(AND('Mapa final'!$I$66="Baja",'Mapa final'!$M$66="Leve"),CONCATENATE("R",'Mapa final'!$B$66),"")</f>
        <v/>
      </c>
      <c r="M34" s="435"/>
      <c r="N34" s="435" t="str">
        <f>IF(AND('Mapa final'!$I$72="Baja",'Mapa final'!$M$72="Leve"),CONCATENATE("R",'Mapa final'!$B$72),"")</f>
        <v/>
      </c>
      <c r="O34" s="436"/>
      <c r="P34" s="427" t="str">
        <f>IF(AND('Mapa final'!$I$60="Baja",'Mapa final'!$M$60="Menor"),CONCATENATE("R",'Mapa final'!$B$60),"")</f>
        <v/>
      </c>
      <c r="Q34" s="427"/>
      <c r="R34" s="427" t="str">
        <f>IF(AND('Mapa final'!$I$66="Baja",'Mapa final'!$M$66="Menor"),CONCATENATE("R",'Mapa final'!$B$66),"")</f>
        <v/>
      </c>
      <c r="S34" s="427"/>
      <c r="T34" s="427" t="str">
        <f>IF(AND('Mapa final'!$I$72="Baja",'Mapa final'!$M$72="Menor"),CONCATENATE("R",'Mapa final'!$B$72),"")</f>
        <v/>
      </c>
      <c r="U34" s="428"/>
      <c r="V34" s="426" t="str">
        <f>IF(AND('Mapa final'!$I$60="Baja",'Mapa final'!$M$60="Moderado"),CONCATENATE("R",'Mapa final'!$B$60),"")</f>
        <v/>
      </c>
      <c r="W34" s="427"/>
      <c r="X34" s="427" t="str">
        <f>IF(AND('Mapa final'!$I$66="Baja",'Mapa final'!$M$66="Moderado"),CONCATENATE("R",'Mapa final'!$B$66),"")</f>
        <v/>
      </c>
      <c r="Y34" s="427"/>
      <c r="Z34" s="427" t="str">
        <f>IF(AND('Mapa final'!$I$72="Baja",'Mapa final'!$M$72="Moderado"),CONCATENATE("R",'Mapa final'!$B$72),"")</f>
        <v/>
      </c>
      <c r="AA34" s="428"/>
      <c r="AB34" s="410" t="str">
        <f>IF(AND('Mapa final'!$I$60="Baja",'Mapa final'!$M$60="Mayor"),CONCATENATE("R",'Mapa final'!$B$60),"")</f>
        <v/>
      </c>
      <c r="AC34" s="406"/>
      <c r="AD34" s="406" t="str">
        <f>IF(AND('Mapa final'!$I$66="Baja",'Mapa final'!$M$66="Mayor"),CONCATENATE("R",'Mapa final'!$B$66),"")</f>
        <v/>
      </c>
      <c r="AE34" s="406"/>
      <c r="AF34" s="406" t="str">
        <f>IF(AND('Mapa final'!$I$72="Baja",'Mapa final'!$M$72="Mayor"),CONCATENATE("R",'Mapa final'!$B$72),"")</f>
        <v/>
      </c>
      <c r="AG34" s="407"/>
      <c r="AH34" s="417" t="str">
        <f>IF(AND('Mapa final'!$I$60="Baja",'Mapa final'!$M$60="Catastrófico"),CONCATENATE("R",'Mapa final'!$B$60),"")</f>
        <v/>
      </c>
      <c r="AI34" s="418"/>
      <c r="AJ34" s="418" t="str">
        <f>IF(AND('Mapa final'!$I$66="Baja",'Mapa final'!$M$66="Catastrófico"),CONCATENATE("R",'Mapa final'!$B$66),"")</f>
        <v/>
      </c>
      <c r="AK34" s="418"/>
      <c r="AL34" s="418" t="str">
        <f>IF(AND('Mapa final'!$I$72="Baja",'Mapa final'!$M$72="Catastrófico"),CONCATENATE("R",'Mapa final'!$B$72),"")</f>
        <v/>
      </c>
      <c r="AM34" s="419"/>
      <c r="AN34" s="40"/>
      <c r="AO34" s="391"/>
      <c r="AP34" s="392"/>
      <c r="AQ34" s="392"/>
      <c r="AR34" s="392"/>
      <c r="AS34" s="392"/>
      <c r="AT34" s="393"/>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row>
    <row r="35" spans="1:80" x14ac:dyDescent="0.25">
      <c r="A35" s="40"/>
      <c r="B35" s="359"/>
      <c r="C35" s="359"/>
      <c r="D35" s="360"/>
      <c r="E35" s="400"/>
      <c r="F35" s="401"/>
      <c r="G35" s="401"/>
      <c r="H35" s="401"/>
      <c r="I35" s="401"/>
      <c r="J35" s="437"/>
      <c r="K35" s="435"/>
      <c r="L35" s="435"/>
      <c r="M35" s="435"/>
      <c r="N35" s="435"/>
      <c r="O35" s="436"/>
      <c r="P35" s="427"/>
      <c r="Q35" s="427"/>
      <c r="R35" s="427"/>
      <c r="S35" s="427"/>
      <c r="T35" s="427"/>
      <c r="U35" s="428"/>
      <c r="V35" s="426"/>
      <c r="W35" s="427"/>
      <c r="X35" s="427"/>
      <c r="Y35" s="427"/>
      <c r="Z35" s="427"/>
      <c r="AA35" s="428"/>
      <c r="AB35" s="410"/>
      <c r="AC35" s="406"/>
      <c r="AD35" s="406"/>
      <c r="AE35" s="406"/>
      <c r="AF35" s="406"/>
      <c r="AG35" s="407"/>
      <c r="AH35" s="417"/>
      <c r="AI35" s="418"/>
      <c r="AJ35" s="418"/>
      <c r="AK35" s="418"/>
      <c r="AL35" s="418"/>
      <c r="AM35" s="419"/>
      <c r="AN35" s="40"/>
      <c r="AO35" s="391"/>
      <c r="AP35" s="392"/>
      <c r="AQ35" s="392"/>
      <c r="AR35" s="392"/>
      <c r="AS35" s="392"/>
      <c r="AT35" s="393"/>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row>
    <row r="36" spans="1:80" x14ac:dyDescent="0.25">
      <c r="A36" s="40"/>
      <c r="B36" s="359"/>
      <c r="C36" s="359"/>
      <c r="D36" s="360"/>
      <c r="E36" s="400"/>
      <c r="F36" s="401"/>
      <c r="G36" s="401"/>
      <c r="H36" s="401"/>
      <c r="I36" s="401"/>
      <c r="J36" s="437" t="str">
        <f>IF(AND('Mapa final'!$I$78="Baja",'Mapa final'!$M$78="Leve"),CONCATENATE("R",'Mapa final'!$B$78),"")</f>
        <v/>
      </c>
      <c r="K36" s="435"/>
      <c r="L36" s="435" t="str">
        <f>IF(AND('Mapa final'!$I$315="Baja",'Mapa final'!$M$315="Leve"),CONCATENATE("R",'Mapa final'!#REF!),"")</f>
        <v/>
      </c>
      <c r="M36" s="435"/>
      <c r="N36" s="435" t="str">
        <f>IF(AND('Mapa final'!$I$321="Baja",'Mapa final'!$M$321="Leve"),CONCATENATE("R",'Mapa final'!$B$321),"")</f>
        <v/>
      </c>
      <c r="O36" s="436"/>
      <c r="P36" s="427" t="str">
        <f>IF(AND('Mapa final'!$I$78="Baja",'Mapa final'!$M$78="Menor"),CONCATENATE("R",'Mapa final'!$B$78),"")</f>
        <v/>
      </c>
      <c r="Q36" s="427"/>
      <c r="R36" s="427" t="str">
        <f>IF(AND('Mapa final'!$I$315="Baja",'Mapa final'!$M$315="Menor"),CONCATENATE("R",'Mapa final'!#REF!),"")</f>
        <v/>
      </c>
      <c r="S36" s="427"/>
      <c r="T36" s="427" t="str">
        <f>IF(AND('Mapa final'!$I$321="Baja",'Mapa final'!$M$321="Menor"),CONCATENATE("R",'Mapa final'!$B$321),"")</f>
        <v/>
      </c>
      <c r="U36" s="428"/>
      <c r="V36" s="426" t="str">
        <f>IF(AND('Mapa final'!$I$78="Baja",'Mapa final'!$M$78="Moderado"),CONCATENATE("R",'Mapa final'!$B$78),"")</f>
        <v/>
      </c>
      <c r="W36" s="427"/>
      <c r="X36" s="427" t="str">
        <f>IF(AND('Mapa final'!$I$315="Baja",'Mapa final'!$M$315="Moderado"),CONCATENATE("R",'Mapa final'!#REF!),"")</f>
        <v/>
      </c>
      <c r="Y36" s="427"/>
      <c r="Z36" s="427" t="str">
        <f>IF(AND('Mapa final'!$I$321="Baja",'Mapa final'!$M$321="Moderado"),CONCATENATE("R",'Mapa final'!$B$321),"")</f>
        <v/>
      </c>
      <c r="AA36" s="428"/>
      <c r="AB36" s="410" t="str">
        <f>IF(AND('Mapa final'!$I$78="Baja",'Mapa final'!$M$78="Mayor"),CONCATENATE("R",'Mapa final'!$B$78),"")</f>
        <v/>
      </c>
      <c r="AC36" s="406"/>
      <c r="AD36" s="406" t="str">
        <f>IF(AND('Mapa final'!$I$315="Baja",'Mapa final'!$M$315="Mayor"),CONCATENATE("R",'Mapa final'!#REF!),"")</f>
        <v/>
      </c>
      <c r="AE36" s="406"/>
      <c r="AF36" s="406" t="str">
        <f>IF(AND('Mapa final'!$I$321="Baja",'Mapa final'!$M$321="Mayor"),CONCATENATE("R",'Mapa final'!$B$321),"")</f>
        <v/>
      </c>
      <c r="AG36" s="407"/>
      <c r="AH36" s="417" t="str">
        <f>IF(AND('Mapa final'!$I$78="Baja",'Mapa final'!$M$78="Catastrófico"),CONCATENATE("R",'Mapa final'!$B$78),"")</f>
        <v/>
      </c>
      <c r="AI36" s="418"/>
      <c r="AJ36" s="418" t="str">
        <f>IF(AND('Mapa final'!$I$315="Baja",'Mapa final'!$M$315="Catastrófico"),CONCATENATE("R",'Mapa final'!#REF!),"")</f>
        <v/>
      </c>
      <c r="AK36" s="418"/>
      <c r="AL36" s="418" t="str">
        <f>IF(AND('Mapa final'!$I$321="Baja",'Mapa final'!$M$321="Catastrófico"),CONCATENATE("R",'Mapa final'!$B$321),"")</f>
        <v/>
      </c>
      <c r="AM36" s="419"/>
      <c r="AN36" s="40"/>
      <c r="AO36" s="391"/>
      <c r="AP36" s="392"/>
      <c r="AQ36" s="392"/>
      <c r="AR36" s="392"/>
      <c r="AS36" s="392"/>
      <c r="AT36" s="393"/>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row>
    <row r="37" spans="1:80" ht="15.75" thickBot="1" x14ac:dyDescent="0.3">
      <c r="A37" s="40"/>
      <c r="B37" s="359"/>
      <c r="C37" s="359"/>
      <c r="D37" s="360"/>
      <c r="E37" s="403"/>
      <c r="F37" s="404"/>
      <c r="G37" s="404"/>
      <c r="H37" s="404"/>
      <c r="I37" s="404"/>
      <c r="J37" s="438"/>
      <c r="K37" s="439"/>
      <c r="L37" s="439"/>
      <c r="M37" s="439"/>
      <c r="N37" s="439"/>
      <c r="O37" s="440"/>
      <c r="P37" s="430"/>
      <c r="Q37" s="430"/>
      <c r="R37" s="430"/>
      <c r="S37" s="430"/>
      <c r="T37" s="430"/>
      <c r="U37" s="431"/>
      <c r="V37" s="429"/>
      <c r="W37" s="430"/>
      <c r="X37" s="430"/>
      <c r="Y37" s="430"/>
      <c r="Z37" s="430"/>
      <c r="AA37" s="431"/>
      <c r="AB37" s="414"/>
      <c r="AC37" s="415"/>
      <c r="AD37" s="415"/>
      <c r="AE37" s="415"/>
      <c r="AF37" s="415"/>
      <c r="AG37" s="416"/>
      <c r="AH37" s="420"/>
      <c r="AI37" s="421"/>
      <c r="AJ37" s="421"/>
      <c r="AK37" s="421"/>
      <c r="AL37" s="421"/>
      <c r="AM37" s="422"/>
      <c r="AN37" s="40"/>
      <c r="AO37" s="394"/>
      <c r="AP37" s="395"/>
      <c r="AQ37" s="395"/>
      <c r="AR37" s="395"/>
      <c r="AS37" s="395"/>
      <c r="AT37" s="396"/>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row>
    <row r="38" spans="1:80" x14ac:dyDescent="0.25">
      <c r="A38" s="40"/>
      <c r="B38" s="359"/>
      <c r="C38" s="359"/>
      <c r="D38" s="360"/>
      <c r="E38" s="397" t="s">
        <v>646</v>
      </c>
      <c r="F38" s="398"/>
      <c r="G38" s="398"/>
      <c r="H38" s="398"/>
      <c r="I38" s="399"/>
      <c r="J38" s="441" t="str">
        <f>IF(AND('Mapa final'!$I$20="Muy Baja",'Mapa final'!$M$20="Leve"),CONCATENATE("R",'Mapa final'!$B$20),"")</f>
        <v/>
      </c>
      <c r="K38" s="442"/>
      <c r="L38" s="442" t="str">
        <f>IF(AND('Mapa final'!$I$32="Muy Baja",'Mapa final'!$M$32="Leve"),CONCATENATE("R",'Mapa final'!$B$32),"")</f>
        <v/>
      </c>
      <c r="M38" s="442"/>
      <c r="N38" s="442" t="str">
        <f>IF(AND('Mapa final'!$I$36="Muy Baja",'Mapa final'!$M$36="Leve"),CONCATENATE("R",'Mapa final'!$B$36),"")</f>
        <v/>
      </c>
      <c r="O38" s="443"/>
      <c r="P38" s="441" t="str">
        <f>IF(AND('Mapa final'!$I$20="Muy Baja",'Mapa final'!$M$20="Menor"),CONCATENATE("R",'Mapa final'!$B$20),"")</f>
        <v/>
      </c>
      <c r="Q38" s="442"/>
      <c r="R38" s="442" t="str">
        <f>IF(AND('Mapa final'!$I$32="Muy Baja",'Mapa final'!$M$32="Menor"),CONCATENATE("R",'Mapa final'!$B$32),"")</f>
        <v/>
      </c>
      <c r="S38" s="442"/>
      <c r="T38" s="442" t="str">
        <f>IF(AND('Mapa final'!$I$36="Muy Baja",'Mapa final'!$M$36="Menor"),CONCATENATE("R",'Mapa final'!$B$36),"")</f>
        <v/>
      </c>
      <c r="U38" s="443"/>
      <c r="V38" s="432" t="str">
        <f>IF(AND('Mapa final'!$I$20="Muy Baja",'Mapa final'!$M$20="Moderado"),CONCATENATE("R",'Mapa final'!$B$20),"")</f>
        <v/>
      </c>
      <c r="W38" s="433"/>
      <c r="X38" s="433" t="str">
        <f>IF(AND('Mapa final'!$I$32="Muy Baja",'Mapa final'!$M$32="Moderado"),CONCATENATE("R",'Mapa final'!$B$32),"")</f>
        <v/>
      </c>
      <c r="Y38" s="433"/>
      <c r="Z38" s="433" t="str">
        <f>IF(AND('Mapa final'!$I$36="Muy Baja",'Mapa final'!$M$36="Moderado"),CONCATENATE("R",'Mapa final'!$B$36),"")</f>
        <v/>
      </c>
      <c r="AA38" s="434"/>
      <c r="AB38" s="408" t="str">
        <f>IF(AND('Mapa final'!$I$20="Muy Baja",'Mapa final'!$M$20="Mayor"),CONCATENATE("R",'Mapa final'!$B$20),"")</f>
        <v/>
      </c>
      <c r="AC38" s="409"/>
      <c r="AD38" s="409" t="str">
        <f>IF(AND('Mapa final'!$I$32="Muy Baja",'Mapa final'!$M$32="Mayor"),CONCATENATE("R",'Mapa final'!$B$32),"")</f>
        <v/>
      </c>
      <c r="AE38" s="409"/>
      <c r="AF38" s="409" t="str">
        <f>IF(AND('Mapa final'!$I$36="Muy Baja",'Mapa final'!$M$36="Mayor"),CONCATENATE("R",'Mapa final'!$B$36),"")</f>
        <v/>
      </c>
      <c r="AG38" s="411"/>
      <c r="AH38" s="423" t="str">
        <f>IF(AND('Mapa final'!$I$20="Muy Baja",'Mapa final'!$M$20="Catastrófico"),CONCATENATE("R",'Mapa final'!$B$20),"")</f>
        <v/>
      </c>
      <c r="AI38" s="424"/>
      <c r="AJ38" s="424" t="str">
        <f>IF(AND('Mapa final'!$I$32="Muy Baja",'Mapa final'!$M$32="Catastrófico"),CONCATENATE("R",'Mapa final'!$B$32),"")</f>
        <v/>
      </c>
      <c r="AK38" s="424"/>
      <c r="AL38" s="424" t="str">
        <f>IF(AND('Mapa final'!$I$36="Muy Baja",'Mapa final'!$M$36="Catastrófico"),CONCATENATE("R",'Mapa final'!$B$36),"")</f>
        <v/>
      </c>
      <c r="AM38" s="425"/>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row>
    <row r="39" spans="1:80" x14ac:dyDescent="0.25">
      <c r="A39" s="40"/>
      <c r="B39" s="359"/>
      <c r="C39" s="359"/>
      <c r="D39" s="360"/>
      <c r="E39" s="400"/>
      <c r="F39" s="401"/>
      <c r="G39" s="401"/>
      <c r="H39" s="401"/>
      <c r="I39" s="402"/>
      <c r="J39" s="437"/>
      <c r="K39" s="435"/>
      <c r="L39" s="435"/>
      <c r="M39" s="435"/>
      <c r="N39" s="435"/>
      <c r="O39" s="436"/>
      <c r="P39" s="437"/>
      <c r="Q39" s="435"/>
      <c r="R39" s="435"/>
      <c r="S39" s="435"/>
      <c r="T39" s="435"/>
      <c r="U39" s="436"/>
      <c r="V39" s="426"/>
      <c r="W39" s="427"/>
      <c r="X39" s="427"/>
      <c r="Y39" s="427"/>
      <c r="Z39" s="427"/>
      <c r="AA39" s="428"/>
      <c r="AB39" s="410"/>
      <c r="AC39" s="406"/>
      <c r="AD39" s="406"/>
      <c r="AE39" s="406"/>
      <c r="AF39" s="406"/>
      <c r="AG39" s="407"/>
      <c r="AH39" s="417"/>
      <c r="AI39" s="418"/>
      <c r="AJ39" s="418"/>
      <c r="AK39" s="418"/>
      <c r="AL39" s="418"/>
      <c r="AM39" s="419"/>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row>
    <row r="40" spans="1:80" x14ac:dyDescent="0.25">
      <c r="A40" s="40"/>
      <c r="B40" s="359"/>
      <c r="C40" s="359"/>
      <c r="D40" s="360"/>
      <c r="E40" s="400"/>
      <c r="F40" s="401"/>
      <c r="G40" s="401"/>
      <c r="H40" s="401"/>
      <c r="I40" s="402"/>
      <c r="J40" s="437" t="str">
        <f>IF(AND('Mapa final'!$I$42="Muy Baja",'Mapa final'!$M$42="Leve"),CONCATENATE("R",'Mapa final'!$B$42),"")</f>
        <v/>
      </c>
      <c r="K40" s="435"/>
      <c r="L40" s="435" t="str">
        <f>IF(AND('Mapa final'!$I$48="Muy Baja",'Mapa final'!$M$48="Leve"),CONCATENATE("R",'Mapa final'!$B$48),"")</f>
        <v/>
      </c>
      <c r="M40" s="435"/>
      <c r="N40" s="435" t="str">
        <f>IF(AND('Mapa final'!$I$54="Muy Baja",'Mapa final'!$M$54="Leve"),CONCATENATE("R",'Mapa final'!$B$54),"")</f>
        <v/>
      </c>
      <c r="O40" s="436"/>
      <c r="P40" s="437" t="str">
        <f>IF(AND('Mapa final'!$I$42="Muy Baja",'Mapa final'!$M$42="Menor"),CONCATENATE("R",'Mapa final'!$B$42),"")</f>
        <v/>
      </c>
      <c r="Q40" s="435"/>
      <c r="R40" s="435" t="str">
        <f>IF(AND('Mapa final'!$I$48="Muy Baja",'Mapa final'!$M$48="Menor"),CONCATENATE("R",'Mapa final'!$B$48),"")</f>
        <v/>
      </c>
      <c r="S40" s="435"/>
      <c r="T40" s="435" t="str">
        <f>IF(AND('Mapa final'!$I$54="Muy Baja",'Mapa final'!$M$54="Menor"),CONCATENATE("R",'Mapa final'!$B$54),"")</f>
        <v/>
      </c>
      <c r="U40" s="436"/>
      <c r="V40" s="426" t="str">
        <f>IF(AND('Mapa final'!$I$42="Muy Baja",'Mapa final'!$M$42="Moderado"),CONCATENATE("R",'Mapa final'!$B$42),"")</f>
        <v/>
      </c>
      <c r="W40" s="427"/>
      <c r="X40" s="427" t="str">
        <f>IF(AND('Mapa final'!$I$48="Muy Baja",'Mapa final'!$M$48="Moderado"),CONCATENATE("R",'Mapa final'!$B$48),"")</f>
        <v/>
      </c>
      <c r="Y40" s="427"/>
      <c r="Z40" s="427" t="str">
        <f>IF(AND('Mapa final'!$I$54="Muy Baja",'Mapa final'!$M$54="Moderado"),CONCATENATE("R",'Mapa final'!$B$54),"")</f>
        <v/>
      </c>
      <c r="AA40" s="428"/>
      <c r="AB40" s="410" t="str">
        <f>IF(AND('Mapa final'!$I$42="Muy Baja",'Mapa final'!$M$42="Mayor"),CONCATENATE("R",'Mapa final'!$B$42),"")</f>
        <v/>
      </c>
      <c r="AC40" s="406"/>
      <c r="AD40" s="406" t="str">
        <f>IF(AND('Mapa final'!$I$48="Muy Baja",'Mapa final'!$M$48="Mayor"),CONCATENATE("R",'Mapa final'!$B$48),"")</f>
        <v/>
      </c>
      <c r="AE40" s="406"/>
      <c r="AF40" s="406" t="str">
        <f>IF(AND('Mapa final'!$I$54="Muy Baja",'Mapa final'!$M$54="Mayor"),CONCATENATE("R",'Mapa final'!$B$54),"")</f>
        <v/>
      </c>
      <c r="AG40" s="407"/>
      <c r="AH40" s="417" t="str">
        <f>IF(AND('Mapa final'!$I$42="Muy Baja",'Mapa final'!$M$42="Catastrófico"),CONCATENATE("R",'Mapa final'!$B$42),"")</f>
        <v/>
      </c>
      <c r="AI40" s="418"/>
      <c r="AJ40" s="418" t="str">
        <f>IF(AND('Mapa final'!$I$48="Muy Baja",'Mapa final'!$M$48="Catastrófico"),CONCATENATE("R",'Mapa final'!$B$48),"")</f>
        <v/>
      </c>
      <c r="AK40" s="418"/>
      <c r="AL40" s="418" t="str">
        <f>IF(AND('Mapa final'!$I$54="Muy Baja",'Mapa final'!$M$54="Catastrófico"),CONCATENATE("R",'Mapa final'!$B$54),"")</f>
        <v/>
      </c>
      <c r="AM40" s="419"/>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row>
    <row r="41" spans="1:80" x14ac:dyDescent="0.25">
      <c r="A41" s="40"/>
      <c r="B41" s="359"/>
      <c r="C41" s="359"/>
      <c r="D41" s="360"/>
      <c r="E41" s="400"/>
      <c r="F41" s="401"/>
      <c r="G41" s="401"/>
      <c r="H41" s="401"/>
      <c r="I41" s="402"/>
      <c r="J41" s="437"/>
      <c r="K41" s="435"/>
      <c r="L41" s="435"/>
      <c r="M41" s="435"/>
      <c r="N41" s="435"/>
      <c r="O41" s="436"/>
      <c r="P41" s="437"/>
      <c r="Q41" s="435"/>
      <c r="R41" s="435"/>
      <c r="S41" s="435"/>
      <c r="T41" s="435"/>
      <c r="U41" s="436"/>
      <c r="V41" s="426"/>
      <c r="W41" s="427"/>
      <c r="X41" s="427"/>
      <c r="Y41" s="427"/>
      <c r="Z41" s="427"/>
      <c r="AA41" s="428"/>
      <c r="AB41" s="410"/>
      <c r="AC41" s="406"/>
      <c r="AD41" s="406"/>
      <c r="AE41" s="406"/>
      <c r="AF41" s="406"/>
      <c r="AG41" s="407"/>
      <c r="AH41" s="417"/>
      <c r="AI41" s="418"/>
      <c r="AJ41" s="418"/>
      <c r="AK41" s="418"/>
      <c r="AL41" s="418"/>
      <c r="AM41" s="419"/>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row>
    <row r="42" spans="1:80" x14ac:dyDescent="0.25">
      <c r="A42" s="40"/>
      <c r="B42" s="359"/>
      <c r="C42" s="359"/>
      <c r="D42" s="360"/>
      <c r="E42" s="400"/>
      <c r="F42" s="401"/>
      <c r="G42" s="401"/>
      <c r="H42" s="401"/>
      <c r="I42" s="402"/>
      <c r="J42" s="437" t="str">
        <f>IF(AND('Mapa final'!$I$60="Muy Baja",'Mapa final'!$M$60="Leve"),CONCATENATE("R",'Mapa final'!$B$60),"")</f>
        <v/>
      </c>
      <c r="K42" s="435"/>
      <c r="L42" s="435" t="str">
        <f>IF(AND('Mapa final'!$I$66="Muy Baja",'Mapa final'!$M$66="Leve"),CONCATENATE("R",'Mapa final'!$B$66),"")</f>
        <v/>
      </c>
      <c r="M42" s="435"/>
      <c r="N42" s="435" t="str">
        <f>IF(AND('Mapa final'!$I$72="Muy Baja",'Mapa final'!$M$72="Leve"),CONCATENATE("R",'Mapa final'!$B$72),"")</f>
        <v/>
      </c>
      <c r="O42" s="436"/>
      <c r="P42" s="437" t="str">
        <f>IF(AND('Mapa final'!$I$60="Muy Baja",'Mapa final'!$M$60="Menor"),CONCATENATE("R",'Mapa final'!$B$60),"")</f>
        <v/>
      </c>
      <c r="Q42" s="435"/>
      <c r="R42" s="435" t="str">
        <f>IF(AND('Mapa final'!$I$66="Muy Baja",'Mapa final'!$M$66="Menor"),CONCATENATE("R",'Mapa final'!$B$66),"")</f>
        <v/>
      </c>
      <c r="S42" s="435"/>
      <c r="T42" s="435" t="str">
        <f>IF(AND('Mapa final'!$I$72="Muy Baja",'Mapa final'!$M$72="Menor"),CONCATENATE("R",'Mapa final'!$B$72),"")</f>
        <v/>
      </c>
      <c r="U42" s="436"/>
      <c r="V42" s="426" t="str">
        <f>IF(AND('Mapa final'!$I$60="Muy Baja",'Mapa final'!$M$60="Moderado"),CONCATENATE("R",'Mapa final'!$B$60),"")</f>
        <v/>
      </c>
      <c r="W42" s="427"/>
      <c r="X42" s="427" t="str">
        <f>IF(AND('Mapa final'!$I$66="Muy Baja",'Mapa final'!$M$66="Moderado"),CONCATENATE("R",'Mapa final'!$B$66),"")</f>
        <v/>
      </c>
      <c r="Y42" s="427"/>
      <c r="Z42" s="427" t="str">
        <f>IF(AND('Mapa final'!$I$72="Muy Baja",'Mapa final'!$M$72="Moderado"),CONCATENATE("R",'Mapa final'!$B$72),"")</f>
        <v/>
      </c>
      <c r="AA42" s="428"/>
      <c r="AB42" s="410" t="str">
        <f>IF(AND('Mapa final'!$I$60="Muy Baja",'Mapa final'!$M$60="Mayor"),CONCATENATE("R",'Mapa final'!$B$60),"")</f>
        <v/>
      </c>
      <c r="AC42" s="406"/>
      <c r="AD42" s="406" t="str">
        <f>IF(AND('Mapa final'!$I$66="Muy Baja",'Mapa final'!$M$66="Mayor"),CONCATENATE("R",'Mapa final'!$B$66),"")</f>
        <v/>
      </c>
      <c r="AE42" s="406"/>
      <c r="AF42" s="406" t="str">
        <f>IF(AND('Mapa final'!$I$72="Muy Baja",'Mapa final'!$M$72="Mayor"),CONCATENATE("R",'Mapa final'!$B$72),"")</f>
        <v/>
      </c>
      <c r="AG42" s="407"/>
      <c r="AH42" s="417" t="str">
        <f>IF(AND('Mapa final'!$I$60="Muy Baja",'Mapa final'!$M$60="Catastrófico"),CONCATENATE("R",'Mapa final'!$B$60),"")</f>
        <v/>
      </c>
      <c r="AI42" s="418"/>
      <c r="AJ42" s="418" t="str">
        <f>IF(AND('Mapa final'!$I$66="Muy Baja",'Mapa final'!$M$66="Catastrófico"),CONCATENATE("R",'Mapa final'!$B$66),"")</f>
        <v/>
      </c>
      <c r="AK42" s="418"/>
      <c r="AL42" s="418" t="str">
        <f>IF(AND('Mapa final'!$I$72="Muy Baja",'Mapa final'!$M$72="Catastrófico"),CONCATENATE("R",'Mapa final'!$B$72),"")</f>
        <v/>
      </c>
      <c r="AM42" s="419"/>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row>
    <row r="43" spans="1:80" x14ac:dyDescent="0.25">
      <c r="A43" s="40"/>
      <c r="B43" s="359"/>
      <c r="C43" s="359"/>
      <c r="D43" s="360"/>
      <c r="E43" s="400"/>
      <c r="F43" s="401"/>
      <c r="G43" s="401"/>
      <c r="H43" s="401"/>
      <c r="I43" s="402"/>
      <c r="J43" s="437"/>
      <c r="K43" s="435"/>
      <c r="L43" s="435"/>
      <c r="M43" s="435"/>
      <c r="N43" s="435"/>
      <c r="O43" s="436"/>
      <c r="P43" s="437"/>
      <c r="Q43" s="435"/>
      <c r="R43" s="435"/>
      <c r="S43" s="435"/>
      <c r="T43" s="435"/>
      <c r="U43" s="436"/>
      <c r="V43" s="426"/>
      <c r="W43" s="427"/>
      <c r="X43" s="427"/>
      <c r="Y43" s="427"/>
      <c r="Z43" s="427"/>
      <c r="AA43" s="428"/>
      <c r="AB43" s="410"/>
      <c r="AC43" s="406"/>
      <c r="AD43" s="406"/>
      <c r="AE43" s="406"/>
      <c r="AF43" s="406"/>
      <c r="AG43" s="407"/>
      <c r="AH43" s="417"/>
      <c r="AI43" s="418"/>
      <c r="AJ43" s="418"/>
      <c r="AK43" s="418"/>
      <c r="AL43" s="418"/>
      <c r="AM43" s="419"/>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row>
    <row r="44" spans="1:80" x14ac:dyDescent="0.25">
      <c r="A44" s="40"/>
      <c r="B44" s="359"/>
      <c r="C44" s="359"/>
      <c r="D44" s="360"/>
      <c r="E44" s="400"/>
      <c r="F44" s="401"/>
      <c r="G44" s="401"/>
      <c r="H44" s="401"/>
      <c r="I44" s="402"/>
      <c r="J44" s="437" t="str">
        <f>IF(AND('Mapa final'!$I$78="Muy Baja",'Mapa final'!$M$78="Leve"),CONCATENATE("R",'Mapa final'!$B$78),"")</f>
        <v/>
      </c>
      <c r="K44" s="435"/>
      <c r="L44" s="435" t="str">
        <f>IF(AND('Mapa final'!$I$315="Muy Baja",'Mapa final'!$M$315="Leve"),CONCATENATE("R",'Mapa final'!#REF!),"")</f>
        <v/>
      </c>
      <c r="M44" s="435"/>
      <c r="N44" s="435" t="str">
        <f>IF(AND('Mapa final'!$I$321="Muy Baja",'Mapa final'!$M$321="Leve"),CONCATENATE("R",'Mapa final'!$B$321),"")</f>
        <v/>
      </c>
      <c r="O44" s="436"/>
      <c r="P44" s="437" t="str">
        <f>IF(AND('Mapa final'!$I$78="Muy Baja",'Mapa final'!$M$78="Menor"),CONCATENATE("R",'Mapa final'!$B$78),"")</f>
        <v/>
      </c>
      <c r="Q44" s="435"/>
      <c r="R44" s="435" t="str">
        <f>IF(AND('Mapa final'!$I$315="Muy Baja",'Mapa final'!$M$315="Menor"),CONCATENATE("R",'Mapa final'!#REF!),"")</f>
        <v/>
      </c>
      <c r="S44" s="435"/>
      <c r="T44" s="435" t="str">
        <f>IF(AND('Mapa final'!$I$321="Muy Baja",'Mapa final'!$M$321="Menor"),CONCATENATE("R",'Mapa final'!$B$321),"")</f>
        <v/>
      </c>
      <c r="U44" s="436"/>
      <c r="V44" s="426" t="str">
        <f>IF(AND('Mapa final'!$I$78="Muy Baja",'Mapa final'!$M$78="Moderado"),CONCATENATE("R",'Mapa final'!$B$78),"")</f>
        <v/>
      </c>
      <c r="W44" s="427"/>
      <c r="X44" s="427" t="str">
        <f>IF(AND('Mapa final'!$I$315="Muy Baja",'Mapa final'!$M$315="Moderado"),CONCATENATE("R",'Mapa final'!#REF!),"")</f>
        <v/>
      </c>
      <c r="Y44" s="427"/>
      <c r="Z44" s="427" t="str">
        <f>IF(AND('Mapa final'!$I$321="Muy Baja",'Mapa final'!$M$321="Moderado"),CONCATENATE("R",'Mapa final'!$B$321),"")</f>
        <v/>
      </c>
      <c r="AA44" s="428"/>
      <c r="AB44" s="410" t="str">
        <f>IF(AND('Mapa final'!$I$78="Muy Baja",'Mapa final'!$M$78="Mayor"),CONCATENATE("R",'Mapa final'!$B$78),"")</f>
        <v/>
      </c>
      <c r="AC44" s="406"/>
      <c r="AD44" s="406" t="str">
        <f>IF(AND('Mapa final'!$I$315="Muy Baja",'Mapa final'!$M$315="Mayor"),CONCATENATE("R",'Mapa final'!#REF!),"")</f>
        <v/>
      </c>
      <c r="AE44" s="406"/>
      <c r="AF44" s="406" t="str">
        <f>IF(AND('Mapa final'!$I$321="Muy Baja",'Mapa final'!$M$321="Mayor"),CONCATENATE("R",'Mapa final'!$B$321),"")</f>
        <v/>
      </c>
      <c r="AG44" s="407"/>
      <c r="AH44" s="417" t="str">
        <f>IF(AND('Mapa final'!$I$78="Muy Baja",'Mapa final'!$M$78="Catastrófico"),CONCATENATE("R",'Mapa final'!$B$78),"")</f>
        <v/>
      </c>
      <c r="AI44" s="418"/>
      <c r="AJ44" s="418" t="str">
        <f>IF(AND('Mapa final'!$I$315="Muy Baja",'Mapa final'!$M$315="Catastrófico"),CONCATENATE("R",'Mapa final'!#REF!),"")</f>
        <v/>
      </c>
      <c r="AK44" s="418"/>
      <c r="AL44" s="418" t="str">
        <f>IF(AND('Mapa final'!$I$321="Muy Baja",'Mapa final'!$M$321="Catastrófico"),CONCATENATE("R",'Mapa final'!$B$321),"")</f>
        <v/>
      </c>
      <c r="AM44" s="419"/>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row>
    <row r="45" spans="1:80" ht="15.75" thickBot="1" x14ac:dyDescent="0.3">
      <c r="A45" s="40"/>
      <c r="B45" s="359"/>
      <c r="C45" s="359"/>
      <c r="D45" s="360"/>
      <c r="E45" s="403"/>
      <c r="F45" s="404"/>
      <c r="G45" s="404"/>
      <c r="H45" s="404"/>
      <c r="I45" s="405"/>
      <c r="J45" s="438"/>
      <c r="K45" s="439"/>
      <c r="L45" s="439"/>
      <c r="M45" s="439"/>
      <c r="N45" s="439"/>
      <c r="O45" s="440"/>
      <c r="P45" s="438"/>
      <c r="Q45" s="439"/>
      <c r="R45" s="439"/>
      <c r="S45" s="439"/>
      <c r="T45" s="439"/>
      <c r="U45" s="440"/>
      <c r="V45" s="429"/>
      <c r="W45" s="430"/>
      <c r="X45" s="430"/>
      <c r="Y45" s="430"/>
      <c r="Z45" s="430"/>
      <c r="AA45" s="431"/>
      <c r="AB45" s="414"/>
      <c r="AC45" s="415"/>
      <c r="AD45" s="415"/>
      <c r="AE45" s="415"/>
      <c r="AF45" s="415"/>
      <c r="AG45" s="416"/>
      <c r="AH45" s="420"/>
      <c r="AI45" s="421"/>
      <c r="AJ45" s="421"/>
      <c r="AK45" s="421"/>
      <c r="AL45" s="421"/>
      <c r="AM45" s="422"/>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row>
    <row r="46" spans="1:80" x14ac:dyDescent="0.25">
      <c r="A46" s="40"/>
      <c r="B46" s="40"/>
      <c r="C46" s="40"/>
      <c r="D46" s="40"/>
      <c r="E46" s="40"/>
      <c r="F46" s="40"/>
      <c r="G46" s="40"/>
      <c r="H46" s="40"/>
      <c r="I46" s="40"/>
      <c r="J46" s="397" t="s">
        <v>647</v>
      </c>
      <c r="K46" s="398"/>
      <c r="L46" s="398"/>
      <c r="M46" s="398"/>
      <c r="N46" s="398"/>
      <c r="O46" s="399"/>
      <c r="P46" s="397" t="s">
        <v>648</v>
      </c>
      <c r="Q46" s="398"/>
      <c r="R46" s="398"/>
      <c r="S46" s="398"/>
      <c r="T46" s="398"/>
      <c r="U46" s="399"/>
      <c r="V46" s="397" t="s">
        <v>649</v>
      </c>
      <c r="W46" s="398"/>
      <c r="X46" s="398"/>
      <c r="Y46" s="398"/>
      <c r="Z46" s="398"/>
      <c r="AA46" s="399"/>
      <c r="AB46" s="397" t="s">
        <v>650</v>
      </c>
      <c r="AC46" s="413"/>
      <c r="AD46" s="398"/>
      <c r="AE46" s="398"/>
      <c r="AF46" s="398"/>
      <c r="AG46" s="399"/>
      <c r="AH46" s="397" t="s">
        <v>651</v>
      </c>
      <c r="AI46" s="398"/>
      <c r="AJ46" s="398"/>
      <c r="AK46" s="398"/>
      <c r="AL46" s="398"/>
      <c r="AM46" s="399"/>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row>
    <row r="47" spans="1:80" x14ac:dyDescent="0.25">
      <c r="A47" s="40"/>
      <c r="B47" s="40"/>
      <c r="C47" s="40"/>
      <c r="D47" s="40"/>
      <c r="E47" s="40"/>
      <c r="F47" s="40"/>
      <c r="G47" s="40"/>
      <c r="H47" s="40"/>
      <c r="I47" s="40"/>
      <c r="J47" s="400"/>
      <c r="K47" s="401"/>
      <c r="L47" s="401"/>
      <c r="M47" s="401"/>
      <c r="N47" s="401"/>
      <c r="O47" s="402"/>
      <c r="P47" s="400"/>
      <c r="Q47" s="401"/>
      <c r="R47" s="401"/>
      <c r="S47" s="401"/>
      <c r="T47" s="401"/>
      <c r="U47" s="402"/>
      <c r="V47" s="400"/>
      <c r="W47" s="401"/>
      <c r="X47" s="401"/>
      <c r="Y47" s="401"/>
      <c r="Z47" s="401"/>
      <c r="AA47" s="402"/>
      <c r="AB47" s="400"/>
      <c r="AC47" s="401"/>
      <c r="AD47" s="401"/>
      <c r="AE47" s="401"/>
      <c r="AF47" s="401"/>
      <c r="AG47" s="402"/>
      <c r="AH47" s="400"/>
      <c r="AI47" s="401"/>
      <c r="AJ47" s="401"/>
      <c r="AK47" s="401"/>
      <c r="AL47" s="401"/>
      <c r="AM47" s="402"/>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row>
    <row r="48" spans="1:80" x14ac:dyDescent="0.25">
      <c r="A48" s="40"/>
      <c r="B48" s="40"/>
      <c r="C48" s="40"/>
      <c r="D48" s="40"/>
      <c r="E48" s="40"/>
      <c r="F48" s="40"/>
      <c r="G48" s="40"/>
      <c r="H48" s="40"/>
      <c r="I48" s="40"/>
      <c r="J48" s="400"/>
      <c r="K48" s="401"/>
      <c r="L48" s="401"/>
      <c r="M48" s="401"/>
      <c r="N48" s="401"/>
      <c r="O48" s="402"/>
      <c r="P48" s="400"/>
      <c r="Q48" s="401"/>
      <c r="R48" s="401"/>
      <c r="S48" s="401"/>
      <c r="T48" s="401"/>
      <c r="U48" s="402"/>
      <c r="V48" s="400"/>
      <c r="W48" s="401"/>
      <c r="X48" s="401"/>
      <c r="Y48" s="401"/>
      <c r="Z48" s="401"/>
      <c r="AA48" s="402"/>
      <c r="AB48" s="400"/>
      <c r="AC48" s="401"/>
      <c r="AD48" s="401"/>
      <c r="AE48" s="401"/>
      <c r="AF48" s="401"/>
      <c r="AG48" s="402"/>
      <c r="AH48" s="400"/>
      <c r="AI48" s="401"/>
      <c r="AJ48" s="401"/>
      <c r="AK48" s="401"/>
      <c r="AL48" s="401"/>
      <c r="AM48" s="402"/>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row>
    <row r="49" spans="1:80" x14ac:dyDescent="0.25">
      <c r="A49" s="40"/>
      <c r="B49" s="40"/>
      <c r="C49" s="40"/>
      <c r="D49" s="40"/>
      <c r="E49" s="40"/>
      <c r="F49" s="40"/>
      <c r="G49" s="40"/>
      <c r="H49" s="40"/>
      <c r="I49" s="40"/>
      <c r="J49" s="400"/>
      <c r="K49" s="401"/>
      <c r="L49" s="401"/>
      <c r="M49" s="401"/>
      <c r="N49" s="401"/>
      <c r="O49" s="402"/>
      <c r="P49" s="400"/>
      <c r="Q49" s="401"/>
      <c r="R49" s="401"/>
      <c r="S49" s="401"/>
      <c r="T49" s="401"/>
      <c r="U49" s="402"/>
      <c r="V49" s="400"/>
      <c r="W49" s="401"/>
      <c r="X49" s="401"/>
      <c r="Y49" s="401"/>
      <c r="Z49" s="401"/>
      <c r="AA49" s="402"/>
      <c r="AB49" s="400"/>
      <c r="AC49" s="401"/>
      <c r="AD49" s="401"/>
      <c r="AE49" s="401"/>
      <c r="AF49" s="401"/>
      <c r="AG49" s="402"/>
      <c r="AH49" s="400"/>
      <c r="AI49" s="401"/>
      <c r="AJ49" s="401"/>
      <c r="AK49" s="401"/>
      <c r="AL49" s="401"/>
      <c r="AM49" s="402"/>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row>
    <row r="50" spans="1:80" x14ac:dyDescent="0.25">
      <c r="A50" s="40"/>
      <c r="B50" s="40"/>
      <c r="C50" s="40"/>
      <c r="D50" s="40"/>
      <c r="E50" s="40"/>
      <c r="F50" s="40"/>
      <c r="G50" s="40"/>
      <c r="H50" s="40"/>
      <c r="I50" s="40"/>
      <c r="J50" s="400"/>
      <c r="K50" s="401"/>
      <c r="L50" s="401"/>
      <c r="M50" s="401"/>
      <c r="N50" s="401"/>
      <c r="O50" s="402"/>
      <c r="P50" s="400"/>
      <c r="Q50" s="401"/>
      <c r="R50" s="401"/>
      <c r="S50" s="401"/>
      <c r="T50" s="401"/>
      <c r="U50" s="402"/>
      <c r="V50" s="400"/>
      <c r="W50" s="401"/>
      <c r="X50" s="401"/>
      <c r="Y50" s="401"/>
      <c r="Z50" s="401"/>
      <c r="AA50" s="402"/>
      <c r="AB50" s="400"/>
      <c r="AC50" s="401"/>
      <c r="AD50" s="401"/>
      <c r="AE50" s="401"/>
      <c r="AF50" s="401"/>
      <c r="AG50" s="402"/>
      <c r="AH50" s="400"/>
      <c r="AI50" s="401"/>
      <c r="AJ50" s="401"/>
      <c r="AK50" s="401"/>
      <c r="AL50" s="401"/>
      <c r="AM50" s="402"/>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row>
    <row r="51" spans="1:80" ht="15.75" thickBot="1" x14ac:dyDescent="0.3">
      <c r="A51" s="40"/>
      <c r="B51" s="40"/>
      <c r="C51" s="40"/>
      <c r="D51" s="40"/>
      <c r="E51" s="40"/>
      <c r="F51" s="40"/>
      <c r="G51" s="40"/>
      <c r="H51" s="40"/>
      <c r="I51" s="40"/>
      <c r="J51" s="403"/>
      <c r="K51" s="404"/>
      <c r="L51" s="404"/>
      <c r="M51" s="404"/>
      <c r="N51" s="404"/>
      <c r="O51" s="405"/>
      <c r="P51" s="403"/>
      <c r="Q51" s="404"/>
      <c r="R51" s="404"/>
      <c r="S51" s="404"/>
      <c r="T51" s="404"/>
      <c r="U51" s="405"/>
      <c r="V51" s="403"/>
      <c r="W51" s="404"/>
      <c r="X51" s="404"/>
      <c r="Y51" s="404"/>
      <c r="Z51" s="404"/>
      <c r="AA51" s="405"/>
      <c r="AB51" s="403"/>
      <c r="AC51" s="404"/>
      <c r="AD51" s="404"/>
      <c r="AE51" s="404"/>
      <c r="AF51" s="404"/>
      <c r="AG51" s="405"/>
      <c r="AH51" s="403"/>
      <c r="AI51" s="404"/>
      <c r="AJ51" s="404"/>
      <c r="AK51" s="404"/>
      <c r="AL51" s="404"/>
      <c r="AM51" s="405"/>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row>
    <row r="52" spans="1:80" x14ac:dyDescent="0.25">
      <c r="A52" s="40"/>
      <c r="B52" s="40"/>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row>
    <row r="53" spans="1:80" ht="15" customHeight="1" x14ac:dyDescent="0.25">
      <c r="A53" s="40"/>
      <c r="B53" s="41"/>
      <c r="C53" s="41"/>
      <c r="D53" s="41"/>
      <c r="E53" s="41"/>
      <c r="F53" s="41"/>
      <c r="G53" s="41"/>
      <c r="H53" s="41"/>
      <c r="I53" s="41"/>
      <c r="J53" s="41"/>
      <c r="K53" s="41"/>
      <c r="L53" s="41"/>
      <c r="M53" s="41"/>
      <c r="N53" s="41"/>
      <c r="O53" s="41"/>
      <c r="P53" s="41"/>
      <c r="Q53" s="41"/>
      <c r="R53" s="41"/>
      <c r="S53" s="41"/>
      <c r="T53" s="41"/>
      <c r="U53" s="41"/>
      <c r="V53" s="41"/>
      <c r="W53" s="41"/>
      <c r="X53" s="41"/>
      <c r="Y53" s="41"/>
      <c r="Z53" s="41"/>
      <c r="AA53" s="41"/>
      <c r="AB53" s="41"/>
      <c r="AC53" s="41"/>
      <c r="AD53" s="41"/>
      <c r="AE53" s="41"/>
      <c r="AF53" s="41"/>
      <c r="AG53" s="41"/>
      <c r="AH53" s="41"/>
      <c r="AI53" s="41"/>
      <c r="AJ53" s="41"/>
      <c r="AK53" s="41"/>
      <c r="AL53" s="41"/>
      <c r="AM53" s="41"/>
      <c r="AN53" s="41"/>
      <c r="AO53" s="41"/>
      <c r="AP53" s="41"/>
      <c r="AQ53" s="41"/>
      <c r="AR53" s="41"/>
      <c r="AS53" s="41"/>
      <c r="AT53" s="41"/>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row>
    <row r="54" spans="1:80" ht="15" customHeight="1" x14ac:dyDescent="0.25">
      <c r="A54" s="40"/>
      <c r="B54" s="41"/>
      <c r="C54" s="41"/>
      <c r="D54" s="41"/>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c r="AJ54" s="41"/>
      <c r="AK54" s="41"/>
      <c r="AL54" s="41"/>
      <c r="AM54" s="41"/>
      <c r="AN54" s="41"/>
      <c r="AO54" s="41"/>
      <c r="AP54" s="41"/>
      <c r="AQ54" s="41"/>
      <c r="AR54" s="41"/>
      <c r="AS54" s="41"/>
      <c r="AT54" s="41"/>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row>
    <row r="55" spans="1:80" x14ac:dyDescent="0.25">
      <c r="A55" s="40"/>
      <c r="B55" s="40"/>
      <c r="C55" s="40"/>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row>
    <row r="56" spans="1:80" x14ac:dyDescent="0.25">
      <c r="A56" s="40"/>
      <c r="B56" s="40"/>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row>
    <row r="57" spans="1:80" x14ac:dyDescent="0.25">
      <c r="A57" s="40"/>
      <c r="B57" s="40"/>
      <c r="C57" s="40"/>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row>
    <row r="58" spans="1:80" x14ac:dyDescent="0.25">
      <c r="A58" s="40"/>
      <c r="B58" s="40"/>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row>
    <row r="59" spans="1:80" x14ac:dyDescent="0.25">
      <c r="A59" s="40"/>
      <c r="B59" s="40"/>
      <c r="C59" s="40"/>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row>
    <row r="60" spans="1:80" x14ac:dyDescent="0.25">
      <c r="A60" s="40"/>
      <c r="B60" s="40"/>
      <c r="C60" s="40"/>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row>
    <row r="61" spans="1:80" x14ac:dyDescent="0.25">
      <c r="A61" s="40"/>
      <c r="B61" s="40"/>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row>
    <row r="62" spans="1:80" x14ac:dyDescent="0.25">
      <c r="A62" s="40"/>
      <c r="B62" s="40"/>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row>
    <row r="63" spans="1:80" x14ac:dyDescent="0.25">
      <c r="A63" s="40"/>
      <c r="B63" s="40"/>
      <c r="C63" s="40"/>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row>
    <row r="64" spans="1:80" x14ac:dyDescent="0.25">
      <c r="A64" s="40"/>
      <c r="B64" s="40"/>
      <c r="C64" s="40"/>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row>
    <row r="65" spans="1:80" x14ac:dyDescent="0.25">
      <c r="A65" s="40"/>
      <c r="B65" s="40"/>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row>
    <row r="66" spans="1:80" x14ac:dyDescent="0.25">
      <c r="A66" s="40"/>
      <c r="B66" s="40"/>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row>
    <row r="67" spans="1:80" x14ac:dyDescent="0.25">
      <c r="A67" s="40"/>
      <c r="B67" s="40"/>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row>
    <row r="68" spans="1:80" x14ac:dyDescent="0.25">
      <c r="A68" s="40"/>
      <c r="B68" s="40"/>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row>
    <row r="69" spans="1:80" x14ac:dyDescent="0.25">
      <c r="A69" s="40"/>
      <c r="B69" s="40"/>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row>
    <row r="70" spans="1:80" x14ac:dyDescent="0.25">
      <c r="A70" s="40"/>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row>
    <row r="71" spans="1:80" x14ac:dyDescent="0.25">
      <c r="A71" s="40"/>
      <c r="B71" s="40"/>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row>
    <row r="72" spans="1:80" x14ac:dyDescent="0.25">
      <c r="A72" s="40"/>
      <c r="B72" s="40"/>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row>
    <row r="73" spans="1:80" x14ac:dyDescent="0.25">
      <c r="A73" s="40"/>
      <c r="B73" s="40"/>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row>
    <row r="74" spans="1:80" x14ac:dyDescent="0.25">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row>
    <row r="75" spans="1:80" x14ac:dyDescent="0.25">
      <c r="A75" s="40"/>
      <c r="B75" s="40"/>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row>
    <row r="76" spans="1:80" x14ac:dyDescent="0.25">
      <c r="A76" s="40"/>
      <c r="B76" s="40"/>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row>
    <row r="77" spans="1:80" x14ac:dyDescent="0.25">
      <c r="A77" s="40"/>
      <c r="B77" s="40"/>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row>
    <row r="78" spans="1:80" x14ac:dyDescent="0.25">
      <c r="A78" s="40"/>
      <c r="B78" s="40"/>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row>
    <row r="79" spans="1:80" x14ac:dyDescent="0.25">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row>
    <row r="80" spans="1:80" x14ac:dyDescent="0.25">
      <c r="A80" s="40"/>
      <c r="B80" s="40"/>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row>
    <row r="81" spans="1:63" x14ac:dyDescent="0.25">
      <c r="A81" s="40"/>
      <c r="B81" s="40"/>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row>
    <row r="82" spans="1:63" x14ac:dyDescent="0.25">
      <c r="A82" s="40"/>
      <c r="B82" s="40"/>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row>
    <row r="83" spans="1:63" x14ac:dyDescent="0.25">
      <c r="A83" s="40"/>
      <c r="B83" s="40"/>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row>
    <row r="84" spans="1:63" x14ac:dyDescent="0.25">
      <c r="A84" s="40"/>
      <c r="B84" s="40"/>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row>
    <row r="85" spans="1:63" x14ac:dyDescent="0.25">
      <c r="A85" s="40"/>
      <c r="B85" s="40"/>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row>
    <row r="86" spans="1:63" x14ac:dyDescent="0.25">
      <c r="A86" s="40"/>
      <c r="B86" s="40"/>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row>
    <row r="87" spans="1:63" x14ac:dyDescent="0.25">
      <c r="A87" s="40"/>
      <c r="B87" s="40"/>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row>
    <row r="88" spans="1:63" x14ac:dyDescent="0.25">
      <c r="A88" s="40"/>
      <c r="B88" s="40"/>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row>
    <row r="89" spans="1:63" x14ac:dyDescent="0.25">
      <c r="A89" s="40"/>
      <c r="B89" s="40"/>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row>
    <row r="90" spans="1:63" x14ac:dyDescent="0.25">
      <c r="A90" s="40"/>
      <c r="B90" s="40"/>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row>
    <row r="91" spans="1:63" x14ac:dyDescent="0.25">
      <c r="A91" s="40"/>
      <c r="B91" s="40"/>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row>
    <row r="92" spans="1:63" x14ac:dyDescent="0.25">
      <c r="A92" s="40"/>
      <c r="B92" s="40"/>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row>
    <row r="93" spans="1:63" x14ac:dyDescent="0.25">
      <c r="A93" s="40"/>
      <c r="B93" s="40"/>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row>
    <row r="94" spans="1:63" x14ac:dyDescent="0.25">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row>
    <row r="95" spans="1:63" x14ac:dyDescent="0.25">
      <c r="A95" s="40"/>
      <c r="B95" s="40"/>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row>
    <row r="96" spans="1:63" x14ac:dyDescent="0.25">
      <c r="A96" s="40"/>
      <c r="B96" s="40"/>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row>
    <row r="97" spans="1:63" x14ac:dyDescent="0.25">
      <c r="A97" s="40"/>
      <c r="B97" s="40"/>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row>
    <row r="98" spans="1:63" x14ac:dyDescent="0.25">
      <c r="A98" s="40"/>
      <c r="B98" s="40"/>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row>
    <row r="99" spans="1:63" x14ac:dyDescent="0.25">
      <c r="A99" s="40"/>
      <c r="B99" s="40"/>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row>
    <row r="100" spans="1:63" x14ac:dyDescent="0.25">
      <c r="A100" s="40"/>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row>
    <row r="101" spans="1:63" x14ac:dyDescent="0.25">
      <c r="A101" s="40"/>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row>
    <row r="102" spans="1:63" x14ac:dyDescent="0.25">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row>
    <row r="103" spans="1:63" x14ac:dyDescent="0.25">
      <c r="A103" s="40"/>
      <c r="B103" s="40"/>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row>
    <row r="104" spans="1:63" x14ac:dyDescent="0.25">
      <c r="A104" s="40"/>
      <c r="B104" s="40"/>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row>
    <row r="105" spans="1:63" x14ac:dyDescent="0.25">
      <c r="A105" s="40"/>
      <c r="B105" s="40"/>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row>
    <row r="106" spans="1:63" x14ac:dyDescent="0.25">
      <c r="A106" s="40"/>
      <c r="B106" s="40"/>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row>
    <row r="107" spans="1:63" x14ac:dyDescent="0.25">
      <c r="A107" s="40"/>
      <c r="B107" s="40"/>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row>
    <row r="108" spans="1:63" x14ac:dyDescent="0.25">
      <c r="A108" s="40"/>
      <c r="B108" s="40"/>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row>
    <row r="109" spans="1:63" x14ac:dyDescent="0.25">
      <c r="A109" s="40"/>
      <c r="B109" s="40"/>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row>
    <row r="110" spans="1:63" x14ac:dyDescent="0.25">
      <c r="A110" s="40"/>
      <c r="B110" s="40"/>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row>
    <row r="111" spans="1:63" x14ac:dyDescent="0.25">
      <c r="A111" s="40"/>
      <c r="B111" s="40"/>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row>
    <row r="112" spans="1:63" x14ac:dyDescent="0.25">
      <c r="A112" s="40"/>
      <c r="B112" s="40"/>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row>
    <row r="113" spans="1:63" x14ac:dyDescent="0.25">
      <c r="A113" s="40"/>
      <c r="B113" s="40"/>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row>
    <row r="114" spans="1:63" x14ac:dyDescent="0.25">
      <c r="A114" s="40"/>
      <c r="B114" s="40"/>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row>
    <row r="115" spans="1:63" x14ac:dyDescent="0.25">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row>
    <row r="116" spans="1:63" x14ac:dyDescent="0.25">
      <c r="A116" s="40"/>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row>
    <row r="117" spans="1:63" x14ac:dyDescent="0.25">
      <c r="A117" s="40"/>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row>
    <row r="118" spans="1:63" x14ac:dyDescent="0.25">
      <c r="A118" s="40"/>
      <c r="B118" s="40"/>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row>
    <row r="119" spans="1:63" x14ac:dyDescent="0.25">
      <c r="A119" s="40"/>
      <c r="B119" s="40"/>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row>
    <row r="120" spans="1:63" x14ac:dyDescent="0.25">
      <c r="A120" s="40"/>
      <c r="B120" s="40"/>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row>
    <row r="121" spans="1:63" x14ac:dyDescent="0.25">
      <c r="A121" s="40"/>
      <c r="B121" s="40"/>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row>
    <row r="122" spans="1:63" x14ac:dyDescent="0.25">
      <c r="B122" s="40"/>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row>
    <row r="123" spans="1:63" x14ac:dyDescent="0.25">
      <c r="B123" s="40"/>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row>
    <row r="124" spans="1:63" x14ac:dyDescent="0.25">
      <c r="B124" s="40"/>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row>
    <row r="125" spans="1:63" x14ac:dyDescent="0.25">
      <c r="B125" s="40"/>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row>
    <row r="126" spans="1:63" x14ac:dyDescent="0.25">
      <c r="B126" s="40"/>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row>
    <row r="127" spans="1:63" x14ac:dyDescent="0.25">
      <c r="B127" s="40"/>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row>
    <row r="128" spans="1:63" x14ac:dyDescent="0.25">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row>
    <row r="129" spans="2:63" x14ac:dyDescent="0.25">
      <c r="B129" s="40"/>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row>
    <row r="130" spans="2:63" x14ac:dyDescent="0.25">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row>
    <row r="131" spans="2:63" x14ac:dyDescent="0.25">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row>
    <row r="132" spans="2:63" x14ac:dyDescent="0.25">
      <c r="B132" s="40"/>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row>
    <row r="133" spans="2:63" x14ac:dyDescent="0.25">
      <c r="B133" s="40"/>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row>
    <row r="134" spans="2:63" x14ac:dyDescent="0.25">
      <c r="B134" s="40"/>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row>
    <row r="135" spans="2:63" x14ac:dyDescent="0.25">
      <c r="B135" s="40"/>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row>
    <row r="136" spans="2:63" x14ac:dyDescent="0.25">
      <c r="B136" s="40"/>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row>
    <row r="137" spans="2:63" x14ac:dyDescent="0.25">
      <c r="B137" s="40"/>
      <c r="C137" s="40"/>
      <c r="D137" s="40"/>
      <c r="E137" s="40"/>
      <c r="F137" s="40"/>
      <c r="G137" s="40"/>
      <c r="H137" s="40"/>
      <c r="I137" s="40"/>
    </row>
    <row r="138" spans="2:63" x14ac:dyDescent="0.25">
      <c r="B138" s="40"/>
      <c r="C138" s="40"/>
      <c r="D138" s="40"/>
      <c r="E138" s="40"/>
      <c r="F138" s="40"/>
      <c r="G138" s="40"/>
      <c r="H138" s="40"/>
      <c r="I138" s="40"/>
    </row>
    <row r="139" spans="2:63" x14ac:dyDescent="0.25">
      <c r="B139" s="40"/>
      <c r="C139" s="40"/>
      <c r="D139" s="40"/>
      <c r="E139" s="40"/>
      <c r="F139" s="40"/>
      <c r="G139" s="40"/>
      <c r="H139" s="40"/>
      <c r="I139" s="40"/>
    </row>
    <row r="140" spans="2:63" x14ac:dyDescent="0.25">
      <c r="B140" s="40"/>
      <c r="C140" s="40"/>
      <c r="D140" s="40"/>
      <c r="E140" s="40"/>
      <c r="F140" s="40"/>
      <c r="G140" s="40"/>
      <c r="H140" s="40"/>
      <c r="I140" s="40"/>
    </row>
  </sheetData>
  <sheetProtection algorithmName="SHA-512" hashValue="kpXlidzmWxbP3brn8k4eIEWxhYHkoNV8mMuhH1lPT/xypiCOesm15jiCfvbsOoPDCD8/umcOeC7isQqNzzQXVQ==" saltValue="e8t6+j8RQ+iPDyNDapgnxw==" spinCount="100000" sheet="1" objects="1" scenarios="1"/>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M248"/>
  <sheetViews>
    <sheetView zoomScale="30" zoomScaleNormal="30" workbookViewId="0">
      <selection activeCell="J56" sqref="J56:O61"/>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40"/>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c r="BX1" s="40"/>
      <c r="BY1" s="40"/>
      <c r="BZ1" s="40"/>
      <c r="CA1" s="40"/>
      <c r="CB1" s="40"/>
      <c r="CC1" s="40"/>
      <c r="CD1" s="40"/>
      <c r="CE1" s="40"/>
      <c r="CF1" s="40"/>
      <c r="CG1" s="40"/>
      <c r="CH1" s="40"/>
      <c r="CI1" s="40"/>
      <c r="CJ1" s="40"/>
      <c r="CK1" s="40"/>
      <c r="CL1" s="40"/>
      <c r="CM1" s="40"/>
    </row>
    <row r="2" spans="1:91" ht="18" customHeight="1" x14ac:dyDescent="0.25">
      <c r="A2" s="40"/>
      <c r="B2" s="470" t="s">
        <v>652</v>
      </c>
      <c r="C2" s="471"/>
      <c r="D2" s="471"/>
      <c r="E2" s="471"/>
      <c r="F2" s="471"/>
      <c r="G2" s="471"/>
      <c r="H2" s="471"/>
      <c r="I2" s="471"/>
      <c r="J2" s="412" t="s">
        <v>136</v>
      </c>
      <c r="K2" s="412"/>
      <c r="L2" s="412"/>
      <c r="M2" s="412"/>
      <c r="N2" s="412"/>
      <c r="O2" s="412"/>
      <c r="P2" s="412"/>
      <c r="Q2" s="412"/>
      <c r="R2" s="412"/>
      <c r="S2" s="412"/>
      <c r="T2" s="412"/>
      <c r="U2" s="412"/>
      <c r="V2" s="412"/>
      <c r="W2" s="412"/>
      <c r="X2" s="412"/>
      <c r="Y2" s="412"/>
      <c r="Z2" s="412"/>
      <c r="AA2" s="412"/>
      <c r="AB2" s="412"/>
      <c r="AC2" s="412"/>
      <c r="AD2" s="412"/>
      <c r="AE2" s="412"/>
      <c r="AF2" s="412"/>
      <c r="AG2" s="412"/>
      <c r="AH2" s="412"/>
      <c r="AI2" s="412"/>
      <c r="AJ2" s="412"/>
      <c r="AK2" s="412"/>
      <c r="AL2" s="412"/>
      <c r="AM2" s="412"/>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row>
    <row r="3" spans="1:91" ht="18.75" customHeight="1" x14ac:dyDescent="0.25">
      <c r="A3" s="40"/>
      <c r="B3" s="471"/>
      <c r="C3" s="471"/>
      <c r="D3" s="471"/>
      <c r="E3" s="471"/>
      <c r="F3" s="471"/>
      <c r="G3" s="471"/>
      <c r="H3" s="471"/>
      <c r="I3" s="471"/>
      <c r="J3" s="412"/>
      <c r="K3" s="412"/>
      <c r="L3" s="412"/>
      <c r="M3" s="412"/>
      <c r="N3" s="412"/>
      <c r="O3" s="412"/>
      <c r="P3" s="412"/>
      <c r="Q3" s="412"/>
      <c r="R3" s="412"/>
      <c r="S3" s="412"/>
      <c r="T3" s="412"/>
      <c r="U3" s="412"/>
      <c r="V3" s="412"/>
      <c r="W3" s="412"/>
      <c r="X3" s="412"/>
      <c r="Y3" s="412"/>
      <c r="Z3" s="412"/>
      <c r="AA3" s="412"/>
      <c r="AB3" s="412"/>
      <c r="AC3" s="412"/>
      <c r="AD3" s="412"/>
      <c r="AE3" s="412"/>
      <c r="AF3" s="412"/>
      <c r="AG3" s="412"/>
      <c r="AH3" s="412"/>
      <c r="AI3" s="412"/>
      <c r="AJ3" s="412"/>
      <c r="AK3" s="412"/>
      <c r="AL3" s="412"/>
      <c r="AM3" s="412"/>
      <c r="AN3" s="40"/>
      <c r="AO3" s="40"/>
      <c r="AP3" s="40"/>
      <c r="AQ3" s="40"/>
      <c r="AR3" s="40"/>
      <c r="AS3" s="40"/>
      <c r="AT3" s="40"/>
      <c r="AU3" s="40"/>
      <c r="AV3" s="40"/>
      <c r="AW3" s="40"/>
      <c r="AX3" s="40"/>
      <c r="AY3" s="40"/>
      <c r="AZ3" s="40"/>
      <c r="BA3" s="40"/>
      <c r="BB3" s="40"/>
      <c r="BC3" s="40"/>
      <c r="BD3" s="40"/>
      <c r="BE3" s="40"/>
      <c r="BF3" s="40"/>
      <c r="BG3" s="40"/>
      <c r="BH3" s="40"/>
      <c r="BI3" s="40"/>
      <c r="BJ3" s="40"/>
      <c r="BK3" s="40"/>
      <c r="BL3" s="40"/>
      <c r="BM3" s="40"/>
      <c r="BN3" s="40"/>
      <c r="BO3" s="40"/>
      <c r="BP3" s="40"/>
      <c r="BQ3" s="40"/>
      <c r="BR3" s="40"/>
      <c r="BS3" s="40"/>
      <c r="BT3" s="40"/>
      <c r="BU3" s="40"/>
      <c r="BV3" s="40"/>
      <c r="BW3" s="40"/>
      <c r="BX3" s="40"/>
      <c r="BY3" s="40"/>
      <c r="BZ3" s="40"/>
      <c r="CA3" s="40"/>
      <c r="CB3" s="40"/>
      <c r="CC3" s="40"/>
      <c r="CD3" s="40"/>
      <c r="CE3" s="40"/>
      <c r="CF3" s="40"/>
      <c r="CG3" s="40"/>
      <c r="CH3" s="40"/>
      <c r="CI3" s="40"/>
      <c r="CJ3" s="40"/>
      <c r="CK3" s="40"/>
      <c r="CL3" s="40"/>
      <c r="CM3" s="40"/>
    </row>
    <row r="4" spans="1:91" ht="15" customHeight="1" x14ac:dyDescent="0.25">
      <c r="A4" s="40"/>
      <c r="B4" s="471"/>
      <c r="C4" s="471"/>
      <c r="D4" s="471"/>
      <c r="E4" s="471"/>
      <c r="F4" s="471"/>
      <c r="G4" s="471"/>
      <c r="H4" s="471"/>
      <c r="I4" s="471"/>
      <c r="J4" s="412"/>
      <c r="K4" s="412"/>
      <c r="L4" s="412"/>
      <c r="M4" s="412"/>
      <c r="N4" s="412"/>
      <c r="O4" s="412"/>
      <c r="P4" s="412"/>
      <c r="Q4" s="412"/>
      <c r="R4" s="412"/>
      <c r="S4" s="412"/>
      <c r="T4" s="412"/>
      <c r="U4" s="412"/>
      <c r="V4" s="412"/>
      <c r="W4" s="412"/>
      <c r="X4" s="412"/>
      <c r="Y4" s="412"/>
      <c r="Z4" s="412"/>
      <c r="AA4" s="412"/>
      <c r="AB4" s="412"/>
      <c r="AC4" s="412"/>
      <c r="AD4" s="412"/>
      <c r="AE4" s="412"/>
      <c r="AF4" s="412"/>
      <c r="AG4" s="412"/>
      <c r="AH4" s="412"/>
      <c r="AI4" s="412"/>
      <c r="AJ4" s="412"/>
      <c r="AK4" s="412"/>
      <c r="AL4" s="412"/>
      <c r="AM4" s="412"/>
      <c r="AN4" s="40"/>
      <c r="AO4" s="40"/>
      <c r="AP4" s="40"/>
      <c r="AQ4" s="40"/>
      <c r="AR4" s="40"/>
      <c r="AS4" s="40"/>
      <c r="AT4" s="40"/>
      <c r="AU4" s="40"/>
      <c r="AV4" s="40"/>
      <c r="AW4" s="40"/>
      <c r="AX4" s="40"/>
      <c r="AY4" s="40"/>
      <c r="AZ4" s="40"/>
      <c r="BA4" s="40"/>
      <c r="BB4" s="40"/>
      <c r="BC4" s="40"/>
      <c r="BD4" s="40"/>
      <c r="BE4" s="40"/>
      <c r="BF4" s="40"/>
      <c r="BG4" s="40"/>
      <c r="BH4" s="40"/>
      <c r="BI4" s="40"/>
      <c r="BJ4" s="40"/>
      <c r="BK4" s="40"/>
      <c r="BL4" s="40"/>
      <c r="BM4" s="40"/>
      <c r="BN4" s="40"/>
      <c r="BO4" s="40"/>
      <c r="BP4" s="40"/>
      <c r="BQ4" s="40"/>
      <c r="BR4" s="40"/>
      <c r="BS4" s="40"/>
      <c r="BT4" s="40"/>
      <c r="BU4" s="40"/>
      <c r="BV4" s="40"/>
      <c r="BW4" s="40"/>
      <c r="BX4" s="40"/>
      <c r="BY4" s="40"/>
      <c r="BZ4" s="40"/>
      <c r="CA4" s="40"/>
      <c r="CB4" s="40"/>
      <c r="CC4" s="40"/>
      <c r="CD4" s="40"/>
      <c r="CE4" s="40"/>
      <c r="CF4" s="40"/>
      <c r="CG4" s="40"/>
      <c r="CH4" s="40"/>
      <c r="CI4" s="40"/>
      <c r="CJ4" s="40"/>
      <c r="CK4" s="40"/>
      <c r="CL4" s="40"/>
      <c r="CM4" s="40"/>
    </row>
    <row r="5" spans="1:91" ht="15.75" thickBot="1" x14ac:dyDescent="0.3">
      <c r="A5" s="40"/>
      <c r="B5" s="40"/>
      <c r="C5" s="40"/>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row>
    <row r="6" spans="1:91" ht="15" customHeight="1" x14ac:dyDescent="0.25">
      <c r="A6" s="40"/>
      <c r="B6" s="359" t="s">
        <v>118</v>
      </c>
      <c r="C6" s="359"/>
      <c r="D6" s="360"/>
      <c r="E6" s="454" t="s">
        <v>638</v>
      </c>
      <c r="F6" s="455"/>
      <c r="G6" s="455"/>
      <c r="H6" s="455"/>
      <c r="I6" s="472"/>
      <c r="J6" s="3" t="str">
        <f>IF(AND('Mapa final'!$Z$20="Muy Alta",'Mapa final'!$AB$20="Leve"),CONCATENATE("R1C",'Mapa final'!$P$20),"")</f>
        <v/>
      </c>
      <c r="K6" s="4" t="str">
        <f>IF(AND('Mapa final'!$Z$21="Muy Alta",'Mapa final'!$AB$21="Leve"),CONCATENATE("R1C",'Mapa final'!$P$21),"")</f>
        <v/>
      </c>
      <c r="L6" s="4" t="str">
        <f>IF(AND('Mapa final'!$Z$22="Muy Alta",'Mapa final'!$AB$22="Leve"),CONCATENATE("R1C",'Mapa final'!$P$22),"")</f>
        <v/>
      </c>
      <c r="M6" s="4" t="str">
        <f>IF(AND('Mapa final'!$Z$23="Muy Alta",'Mapa final'!$AB$23="Leve"),CONCATENATE("R1C",'Mapa final'!$P$23),"")</f>
        <v/>
      </c>
      <c r="N6" s="4" t="str">
        <f>IF(AND('Mapa final'!$Z$24="Muy Alta",'Mapa final'!$AB$24="Leve"),CONCATENATE("R1C",'Mapa final'!$P$24),"")</f>
        <v/>
      </c>
      <c r="O6" s="5" t="str">
        <f>IF(AND('Mapa final'!$Z$25="Muy Alta",'Mapa final'!$AB$25="Leve"),CONCATENATE("R1C",'Mapa final'!$P$25),"")</f>
        <v/>
      </c>
      <c r="P6" s="3" t="str">
        <f>IF(AND('Mapa final'!$Z$20="Muy Alta",'Mapa final'!$AB$20="Menor"),CONCATENATE("R1C",'Mapa final'!$P$20),"")</f>
        <v/>
      </c>
      <c r="Q6" s="4" t="str">
        <f>IF(AND('Mapa final'!$Z$21="Muy Alta",'Mapa final'!$AB$21="Menor"),CONCATENATE("R1C",'Mapa final'!$P$21),"")</f>
        <v/>
      </c>
      <c r="R6" s="4" t="str">
        <f>IF(AND('Mapa final'!$Z$22="Muy Alta",'Mapa final'!$AB$22="Menor"),CONCATENATE("R1C",'Mapa final'!$P$22),"")</f>
        <v/>
      </c>
      <c r="S6" s="4" t="str">
        <f>IF(AND('Mapa final'!$Z$23="Muy Alta",'Mapa final'!$AB$23="Menor"),CONCATENATE("R1C",'Mapa final'!$P$23),"")</f>
        <v/>
      </c>
      <c r="T6" s="4" t="str">
        <f>IF(AND('Mapa final'!$Z$24="Muy Alta",'Mapa final'!$AB$24="Menor"),CONCATENATE("R1C",'Mapa final'!$P$24),"")</f>
        <v/>
      </c>
      <c r="U6" s="5" t="str">
        <f>IF(AND('Mapa final'!$Z$25="Muy Alta",'Mapa final'!$AB$25="Menor"),CONCATENATE("R1C",'Mapa final'!$P$25),"")</f>
        <v/>
      </c>
      <c r="V6" s="3" t="str">
        <f>IF(AND('Mapa final'!$Z$20="Muy Alta",'Mapa final'!$AB$20="Moderado"),CONCATENATE("R1C",'Mapa final'!$P$20),"")</f>
        <v/>
      </c>
      <c r="W6" s="4" t="str">
        <f>IF(AND('Mapa final'!$Z$21="Muy Alta",'Mapa final'!$AB$21="Moderado"),CONCATENATE("R1C",'Mapa final'!$P$21),"")</f>
        <v/>
      </c>
      <c r="X6" s="4" t="str">
        <f>IF(AND('Mapa final'!$Z$22="Muy Alta",'Mapa final'!$AB$22="Moderado"),CONCATENATE("R1C",'Mapa final'!$P$22),"")</f>
        <v/>
      </c>
      <c r="Y6" s="4" t="str">
        <f>IF(AND('Mapa final'!$Z$23="Muy Alta",'Mapa final'!$AB$23="Moderado"),CONCATENATE("R1C",'Mapa final'!$P$23),"")</f>
        <v/>
      </c>
      <c r="Z6" s="4" t="str">
        <f>IF(AND('Mapa final'!$Z$24="Muy Alta",'Mapa final'!$AB$24="Moderado"),CONCATENATE("R1C",'Mapa final'!$P$24),"")</f>
        <v/>
      </c>
      <c r="AA6" s="5" t="str">
        <f>IF(AND('Mapa final'!$Z$25="Muy Alta",'Mapa final'!$AB$25="Moderado"),CONCATENATE("R1C",'Mapa final'!$P$25),"")</f>
        <v/>
      </c>
      <c r="AB6" s="3" t="str">
        <f>IF(AND('Mapa final'!$Z$20="Muy Alta",'Mapa final'!$AB$20="Mayor"),CONCATENATE("R1C",'Mapa final'!$P$20),"")</f>
        <v/>
      </c>
      <c r="AC6" s="4" t="str">
        <f>IF(AND('Mapa final'!$Z$21="Muy Alta",'Mapa final'!$AB$21="Mayor"),CONCATENATE("R1C",'Mapa final'!$P$21),"")</f>
        <v/>
      </c>
      <c r="AD6" s="4" t="str">
        <f>IF(AND('Mapa final'!$Z$22="Muy Alta",'Mapa final'!$AB$22="Mayor"),CONCATENATE("R1C",'Mapa final'!$P$22),"")</f>
        <v/>
      </c>
      <c r="AE6" s="4" t="str">
        <f>IF(AND('Mapa final'!$Z$23="Muy Alta",'Mapa final'!$AB$23="Mayor"),CONCATENATE("R1C",'Mapa final'!$P$23),"")</f>
        <v/>
      </c>
      <c r="AF6" s="4" t="str">
        <f>IF(AND('Mapa final'!$Z$24="Muy Alta",'Mapa final'!$AB$24="Mayor"),CONCATENATE("R1C",'Mapa final'!$P$24),"")</f>
        <v/>
      </c>
      <c r="AG6" s="5" t="str">
        <f>IF(AND('Mapa final'!$Z$25="Muy Alta",'Mapa final'!$AB$25="Mayor"),CONCATENATE("R1C",'Mapa final'!$P$25),"")</f>
        <v/>
      </c>
      <c r="AH6" s="6" t="str">
        <f>IF(AND('Mapa final'!$Z$20="Muy Alta",'Mapa final'!$AB$20="Catastrófico"),CONCATENATE("R1C",'Mapa final'!$P$20),"")</f>
        <v/>
      </c>
      <c r="AI6" s="7" t="str">
        <f>IF(AND('Mapa final'!$Z$21="Muy Alta",'Mapa final'!$AB$21="Catastrófico"),CONCATENATE("R1C",'Mapa final'!$P$21),"")</f>
        <v/>
      </c>
      <c r="AJ6" s="7" t="str">
        <f>IF(AND('Mapa final'!$Z$22="Muy Alta",'Mapa final'!$AB$22="Catastrófico"),CONCATENATE("R1C",'Mapa final'!$P$22),"")</f>
        <v/>
      </c>
      <c r="AK6" s="7" t="str">
        <f>IF(AND('Mapa final'!$Z$23="Muy Alta",'Mapa final'!$AB$23="Catastrófico"),CONCATENATE("R1C",'Mapa final'!$P$23),"")</f>
        <v/>
      </c>
      <c r="AL6" s="7" t="str">
        <f>IF(AND('Mapa final'!$Z$24="Muy Alta",'Mapa final'!$AB$24="Catastrófico"),CONCATENATE("R1C",'Mapa final'!$P$24),"")</f>
        <v/>
      </c>
      <c r="AM6" s="8" t="str">
        <f>IF(AND('Mapa final'!$Z$25="Muy Alta",'Mapa final'!$AB$25="Catastrófico"),CONCATENATE("R1C",'Mapa final'!$P$25),"")</f>
        <v/>
      </c>
      <c r="AN6" s="40"/>
      <c r="AO6" s="461" t="s">
        <v>639</v>
      </c>
      <c r="AP6" s="462"/>
      <c r="AQ6" s="462"/>
      <c r="AR6" s="462"/>
      <c r="AS6" s="462"/>
      <c r="AT6" s="463"/>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row>
    <row r="7" spans="1:91" ht="15" customHeight="1" x14ac:dyDescent="0.25">
      <c r="A7" s="40"/>
      <c r="B7" s="359"/>
      <c r="C7" s="359"/>
      <c r="D7" s="360"/>
      <c r="E7" s="458"/>
      <c r="F7" s="457"/>
      <c r="G7" s="457"/>
      <c r="H7" s="457"/>
      <c r="I7" s="473"/>
      <c r="J7" s="9" t="str">
        <f>IF(AND('Mapa final'!$Z$32="Muy Alta",'Mapa final'!$AB$32="Leve"),CONCATENATE("R2C",'Mapa final'!$P$32),"")</f>
        <v/>
      </c>
      <c r="K7" s="10" t="str">
        <f>IF(AND('Mapa final'!$Z$33="Muy Alta",'Mapa final'!$AB$33="Leve"),CONCATENATE("R2C",'Mapa final'!$P$33),"")</f>
        <v/>
      </c>
      <c r="L7" s="10" t="str">
        <f>IF(AND('Mapa final'!$Z$34="Muy Alta",'Mapa final'!$AB$34="Leve"),CONCATENATE("R2C",'Mapa final'!$P$34),"")</f>
        <v/>
      </c>
      <c r="M7" s="10" t="str">
        <f>IF(AND('Mapa final'!$Z$35="Muy Alta",'Mapa final'!$AB$35="Leve"),CONCATENATE("R2C",'Mapa final'!$P$35),"")</f>
        <v/>
      </c>
      <c r="N7" s="10" t="e">
        <f>IF(AND('Mapa final'!#REF!="Muy Alta",'Mapa final'!#REF!="Leve"),CONCATENATE("R2C",'Mapa final'!#REF!),"")</f>
        <v>#REF!</v>
      </c>
      <c r="O7" s="11" t="e">
        <f>IF(AND('Mapa final'!#REF!="Muy Alta",'Mapa final'!#REF!="Leve"),CONCATENATE("R2C",'Mapa final'!#REF!),"")</f>
        <v>#REF!</v>
      </c>
      <c r="P7" s="9" t="str">
        <f>IF(AND('Mapa final'!$Z$32="Muy Alta",'Mapa final'!$AB$32="Menor"),CONCATENATE("R2C",'Mapa final'!$P$32),"")</f>
        <v/>
      </c>
      <c r="Q7" s="10" t="str">
        <f>IF(AND('Mapa final'!$Z$33="Muy Alta",'Mapa final'!$AB$33="Menor"),CONCATENATE("R2C",'Mapa final'!$P$33),"")</f>
        <v/>
      </c>
      <c r="R7" s="10" t="str">
        <f>IF(AND('Mapa final'!$Z$34="Muy Alta",'Mapa final'!$AB$34="Menor"),CONCATENATE("R2C",'Mapa final'!$P$34),"")</f>
        <v/>
      </c>
      <c r="S7" s="10" t="str">
        <f>IF(AND('Mapa final'!$Z$35="Muy Alta",'Mapa final'!$AB$35="Menor"),CONCATENATE("R2C",'Mapa final'!$P$35),"")</f>
        <v/>
      </c>
      <c r="T7" s="10" t="e">
        <f>IF(AND('Mapa final'!#REF!="Muy Alta",'Mapa final'!#REF!="Menor"),CONCATENATE("R2C",'Mapa final'!#REF!),"")</f>
        <v>#REF!</v>
      </c>
      <c r="U7" s="11" t="e">
        <f>IF(AND('Mapa final'!#REF!="Muy Alta",'Mapa final'!#REF!="Menor"),CONCATENATE("R2C",'Mapa final'!#REF!),"")</f>
        <v>#REF!</v>
      </c>
      <c r="V7" s="9" t="str">
        <f>IF(AND('Mapa final'!$Z$32="Muy Alta",'Mapa final'!$AB$32="Moderado"),CONCATENATE("R2C",'Mapa final'!$P$32),"")</f>
        <v/>
      </c>
      <c r="W7" s="10" t="str">
        <f>IF(AND('Mapa final'!$Z$33="Muy Alta",'Mapa final'!$AB$33="Moderado"),CONCATENATE("R2C",'Mapa final'!$P$33),"")</f>
        <v/>
      </c>
      <c r="X7" s="10" t="str">
        <f>IF(AND('Mapa final'!$Z$34="Muy Alta",'Mapa final'!$AB$34="Moderado"),CONCATENATE("R2C",'Mapa final'!$P$34),"")</f>
        <v/>
      </c>
      <c r="Y7" s="10" t="str">
        <f>IF(AND('Mapa final'!$Z$35="Muy Alta",'Mapa final'!$AB$35="Moderado"),CONCATENATE("R2C",'Mapa final'!$P$35),"")</f>
        <v/>
      </c>
      <c r="Z7" s="10" t="e">
        <f>IF(AND('Mapa final'!#REF!="Muy Alta",'Mapa final'!#REF!="Moderado"),CONCATENATE("R2C",'Mapa final'!#REF!),"")</f>
        <v>#REF!</v>
      </c>
      <c r="AA7" s="11" t="e">
        <f>IF(AND('Mapa final'!#REF!="Muy Alta",'Mapa final'!#REF!="Moderado"),CONCATENATE("R2C",'Mapa final'!#REF!),"")</f>
        <v>#REF!</v>
      </c>
      <c r="AB7" s="9" t="str">
        <f>IF(AND('Mapa final'!$Z$32="Muy Alta",'Mapa final'!$AB$32="Mayor"),CONCATENATE("R2C",'Mapa final'!$P$32),"")</f>
        <v/>
      </c>
      <c r="AC7" s="10" t="str">
        <f>IF(AND('Mapa final'!$Z$33="Muy Alta",'Mapa final'!$AB$33="Mayor"),CONCATENATE("R2C",'Mapa final'!$P$33),"")</f>
        <v/>
      </c>
      <c r="AD7" s="10" t="str">
        <f>IF(AND('Mapa final'!$Z$34="Muy Alta",'Mapa final'!$AB$34="Mayor"),CONCATENATE("R2C",'Mapa final'!$P$34),"")</f>
        <v/>
      </c>
      <c r="AE7" s="10" t="str">
        <f>IF(AND('Mapa final'!$Z$35="Muy Alta",'Mapa final'!$AB$35="Mayor"),CONCATENATE("R2C",'Mapa final'!$P$35),"")</f>
        <v/>
      </c>
      <c r="AF7" s="10" t="e">
        <f>IF(AND('Mapa final'!#REF!="Muy Alta",'Mapa final'!#REF!="Mayor"),CONCATENATE("R2C",'Mapa final'!#REF!),"")</f>
        <v>#REF!</v>
      </c>
      <c r="AG7" s="11" t="e">
        <f>IF(AND('Mapa final'!#REF!="Muy Alta",'Mapa final'!#REF!="Mayor"),CONCATENATE("R2C",'Mapa final'!#REF!),"")</f>
        <v>#REF!</v>
      </c>
      <c r="AH7" s="12" t="str">
        <f>IF(AND('Mapa final'!$Z$32="Muy Alta",'Mapa final'!$AB$32="Catastrófico"),CONCATENATE("R2C",'Mapa final'!$P$32),"")</f>
        <v/>
      </c>
      <c r="AI7" s="13" t="str">
        <f>IF(AND('Mapa final'!$Z$33="Muy Alta",'Mapa final'!$AB$33="Catastrófico"),CONCATENATE("R2C",'Mapa final'!$P$33),"")</f>
        <v/>
      </c>
      <c r="AJ7" s="13" t="str">
        <f>IF(AND('Mapa final'!$Z$34="Muy Alta",'Mapa final'!$AB$34="Catastrófico"),CONCATENATE("R2C",'Mapa final'!$P$34),"")</f>
        <v/>
      </c>
      <c r="AK7" s="13" t="str">
        <f>IF(AND('Mapa final'!$Z$35="Muy Alta",'Mapa final'!$AB$35="Catastrófico"),CONCATENATE("R2C",'Mapa final'!$P$35),"")</f>
        <v/>
      </c>
      <c r="AL7" s="13" t="e">
        <f>IF(AND('Mapa final'!#REF!="Muy Alta",'Mapa final'!#REF!="Catastrófico"),CONCATENATE("R2C",'Mapa final'!#REF!),"")</f>
        <v>#REF!</v>
      </c>
      <c r="AM7" s="14" t="e">
        <f>IF(AND('Mapa final'!#REF!="Muy Alta",'Mapa final'!#REF!="Catastrófico"),CONCATENATE("R2C",'Mapa final'!#REF!),"")</f>
        <v>#REF!</v>
      </c>
      <c r="AN7" s="40"/>
      <c r="AO7" s="464"/>
      <c r="AP7" s="465"/>
      <c r="AQ7" s="465"/>
      <c r="AR7" s="465"/>
      <c r="AS7" s="465"/>
      <c r="AT7" s="466"/>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row>
    <row r="8" spans="1:91" ht="15" customHeight="1" x14ac:dyDescent="0.25">
      <c r="A8" s="40"/>
      <c r="B8" s="359"/>
      <c r="C8" s="359"/>
      <c r="D8" s="360"/>
      <c r="E8" s="458"/>
      <c r="F8" s="457"/>
      <c r="G8" s="457"/>
      <c r="H8" s="457"/>
      <c r="I8" s="473"/>
      <c r="J8" s="9" t="str">
        <f>IF(AND('Mapa final'!$Z$36="Muy Alta",'Mapa final'!$AB$36="Leve"),CONCATENATE("R3C",'Mapa final'!$P$36),"")</f>
        <v/>
      </c>
      <c r="K8" s="10" t="str">
        <f>IF(AND('Mapa final'!$Z$37="Muy Alta",'Mapa final'!$AB$37="Leve"),CONCATENATE("R3C",'Mapa final'!$P$37),"")</f>
        <v/>
      </c>
      <c r="L8" s="10" t="str">
        <f>IF(AND('Mapa final'!$Z$38="Muy Alta",'Mapa final'!$AB$38="Leve"),CONCATENATE("R3C",'Mapa final'!$P$38),"")</f>
        <v/>
      </c>
      <c r="M8" s="10" t="str">
        <f>IF(AND('Mapa final'!$Z$39="Muy Alta",'Mapa final'!$AB$39="Leve"),CONCATENATE("R3C",'Mapa final'!$P$39),"")</f>
        <v/>
      </c>
      <c r="N8" s="10" t="str">
        <f>IF(AND('Mapa final'!$Z$40="Muy Alta",'Mapa final'!$AB$40="Leve"),CONCATENATE("R3C",'Mapa final'!$P$40),"")</f>
        <v/>
      </c>
      <c r="O8" s="11" t="str">
        <f>IF(AND('Mapa final'!$Z$41="Muy Alta",'Mapa final'!$AB$41="Leve"),CONCATENATE("R3C",'Mapa final'!$P$41),"")</f>
        <v/>
      </c>
      <c r="P8" s="9" t="str">
        <f>IF(AND('Mapa final'!$Z$36="Muy Alta",'Mapa final'!$AB$36="Menor"),CONCATENATE("R3C",'Mapa final'!$P$36),"")</f>
        <v/>
      </c>
      <c r="Q8" s="10" t="str">
        <f>IF(AND('Mapa final'!$Z$37="Muy Alta",'Mapa final'!$AB$37="Menor"),CONCATENATE("R3C",'Mapa final'!$P$37),"")</f>
        <v/>
      </c>
      <c r="R8" s="10" t="str">
        <f>IF(AND('Mapa final'!$Z$38="Muy Alta",'Mapa final'!$AB$38="Menor"),CONCATENATE("R3C",'Mapa final'!$P$38),"")</f>
        <v/>
      </c>
      <c r="S8" s="10" t="str">
        <f>IF(AND('Mapa final'!$Z$39="Muy Alta",'Mapa final'!$AB$39="Menor"),CONCATENATE("R3C",'Mapa final'!$P$39),"")</f>
        <v/>
      </c>
      <c r="T8" s="10" t="str">
        <f>IF(AND('Mapa final'!$Z$40="Muy Alta",'Mapa final'!$AB$40="Menor"),CONCATENATE("R3C",'Mapa final'!$P$40),"")</f>
        <v/>
      </c>
      <c r="U8" s="11" t="str">
        <f>IF(AND('Mapa final'!$Z$41="Muy Alta",'Mapa final'!$AB$41="Menor"),CONCATENATE("R3C",'Mapa final'!$P$41),"")</f>
        <v/>
      </c>
      <c r="V8" s="9" t="str">
        <f>IF(AND('Mapa final'!$Z$36="Muy Alta",'Mapa final'!$AB$36="Moderado"),CONCATENATE("R3C",'Mapa final'!$P$36),"")</f>
        <v/>
      </c>
      <c r="W8" s="10" t="str">
        <f>IF(AND('Mapa final'!$Z$37="Muy Alta",'Mapa final'!$AB$37="Moderado"),CONCATENATE("R3C",'Mapa final'!$P$37),"")</f>
        <v/>
      </c>
      <c r="X8" s="10" t="str">
        <f>IF(AND('Mapa final'!$Z$38="Muy Alta",'Mapa final'!$AB$38="Moderado"),CONCATENATE("R3C",'Mapa final'!$P$38),"")</f>
        <v/>
      </c>
      <c r="Y8" s="10" t="str">
        <f>IF(AND('Mapa final'!$Z$39="Muy Alta",'Mapa final'!$AB$39="Moderado"),CONCATENATE("R3C",'Mapa final'!$P$39),"")</f>
        <v/>
      </c>
      <c r="Z8" s="10" t="str">
        <f>IF(AND('Mapa final'!$Z$40="Muy Alta",'Mapa final'!$AB$40="Moderado"),CONCATENATE("R3C",'Mapa final'!$P$40),"")</f>
        <v/>
      </c>
      <c r="AA8" s="11" t="str">
        <f>IF(AND('Mapa final'!$Z$41="Muy Alta",'Mapa final'!$AB$41="Moderado"),CONCATENATE("R3C",'Mapa final'!$P$41),"")</f>
        <v/>
      </c>
      <c r="AB8" s="9" t="str">
        <f>IF(AND('Mapa final'!$Z$36="Muy Alta",'Mapa final'!$AB$36="Mayor"),CONCATENATE("R3C",'Mapa final'!$P$36),"")</f>
        <v/>
      </c>
      <c r="AC8" s="10" t="str">
        <f>IF(AND('Mapa final'!$Z$37="Muy Alta",'Mapa final'!$AB$37="Mayor"),CONCATENATE("R3C",'Mapa final'!$P$37),"")</f>
        <v/>
      </c>
      <c r="AD8" s="10" t="str">
        <f>IF(AND('Mapa final'!$Z$38="Muy Alta",'Mapa final'!$AB$38="Mayor"),CONCATENATE("R3C",'Mapa final'!$P$38),"")</f>
        <v/>
      </c>
      <c r="AE8" s="10" t="str">
        <f>IF(AND('Mapa final'!$Z$39="Muy Alta",'Mapa final'!$AB$39="Mayor"),CONCATENATE("R3C",'Mapa final'!$P$39),"")</f>
        <v/>
      </c>
      <c r="AF8" s="10" t="str">
        <f>IF(AND('Mapa final'!$Z$40="Muy Alta",'Mapa final'!$AB$40="Mayor"),CONCATENATE("R3C",'Mapa final'!$P$40),"")</f>
        <v/>
      </c>
      <c r="AG8" s="11" t="str">
        <f>IF(AND('Mapa final'!$Z$41="Muy Alta",'Mapa final'!$AB$41="Mayor"),CONCATENATE("R3C",'Mapa final'!$P$41),"")</f>
        <v/>
      </c>
      <c r="AH8" s="12" t="str">
        <f>IF(AND('Mapa final'!$Z$36="Muy Alta",'Mapa final'!$AB$36="Catastrófico"),CONCATENATE("R3C",'Mapa final'!$P$36),"")</f>
        <v/>
      </c>
      <c r="AI8" s="13" t="str">
        <f>IF(AND('Mapa final'!$Z$37="Muy Alta",'Mapa final'!$AB$37="Catastrófico"),CONCATENATE("R3C",'Mapa final'!$P$37),"")</f>
        <v/>
      </c>
      <c r="AJ8" s="13" t="str">
        <f>IF(AND('Mapa final'!$Z$38="Muy Alta",'Mapa final'!$AB$38="Catastrófico"),CONCATENATE("R3C",'Mapa final'!$P$38),"")</f>
        <v/>
      </c>
      <c r="AK8" s="13" t="str">
        <f>IF(AND('Mapa final'!$Z$39="Muy Alta",'Mapa final'!$AB$39="Catastrófico"),CONCATENATE("R3C",'Mapa final'!$P$39),"")</f>
        <v/>
      </c>
      <c r="AL8" s="13" t="str">
        <f>IF(AND('Mapa final'!$Z$40="Muy Alta",'Mapa final'!$AB$40="Catastrófico"),CONCATENATE("R3C",'Mapa final'!$P$40),"")</f>
        <v/>
      </c>
      <c r="AM8" s="14" t="str">
        <f>IF(AND('Mapa final'!$Z$41="Muy Alta",'Mapa final'!$AB$41="Catastrófico"),CONCATENATE("R3C",'Mapa final'!$P$41),"")</f>
        <v/>
      </c>
      <c r="AN8" s="40"/>
      <c r="AO8" s="464"/>
      <c r="AP8" s="465"/>
      <c r="AQ8" s="465"/>
      <c r="AR8" s="465"/>
      <c r="AS8" s="465"/>
      <c r="AT8" s="466"/>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row>
    <row r="9" spans="1:91" ht="15" customHeight="1" x14ac:dyDescent="0.25">
      <c r="A9" s="40"/>
      <c r="B9" s="359"/>
      <c r="C9" s="359"/>
      <c r="D9" s="360"/>
      <c r="E9" s="458"/>
      <c r="F9" s="457"/>
      <c r="G9" s="457"/>
      <c r="H9" s="457"/>
      <c r="I9" s="473"/>
      <c r="J9" s="9" t="str">
        <f>IF(AND('Mapa final'!$Z$42="Muy Alta",'Mapa final'!$AB$42="Leve"),CONCATENATE("R4C",'Mapa final'!$P$42),"")</f>
        <v/>
      </c>
      <c r="K9" s="10" t="str">
        <f>IF(AND('Mapa final'!$Z$43="Muy Alta",'Mapa final'!$AB$43="Leve"),CONCATENATE("R4C",'Mapa final'!$P$43),"")</f>
        <v/>
      </c>
      <c r="L9" s="10" t="str">
        <f>IF(AND('Mapa final'!$Z$44="Muy Alta",'Mapa final'!$AB$44="Leve"),CONCATENATE("R4C",'Mapa final'!$P$44),"")</f>
        <v/>
      </c>
      <c r="M9" s="10" t="str">
        <f>IF(AND('Mapa final'!$Z$45="Muy Alta",'Mapa final'!$AB$45="Leve"),CONCATENATE("R4C",'Mapa final'!$P$45),"")</f>
        <v/>
      </c>
      <c r="N9" s="10" t="str">
        <f>IF(AND('Mapa final'!$Z$46="Muy Alta",'Mapa final'!$AB$46="Leve"),CONCATENATE("R4C",'Mapa final'!$P$46),"")</f>
        <v/>
      </c>
      <c r="O9" s="11" t="str">
        <f>IF(AND('Mapa final'!$Z$47="Muy Alta",'Mapa final'!$AB$47="Leve"),CONCATENATE("R4C",'Mapa final'!$P$47),"")</f>
        <v/>
      </c>
      <c r="P9" s="9" t="str">
        <f>IF(AND('Mapa final'!$Z$42="Muy Alta",'Mapa final'!$AB$42="Menor"),CONCATENATE("R4C",'Mapa final'!$P$42),"")</f>
        <v/>
      </c>
      <c r="Q9" s="10" t="str">
        <f>IF(AND('Mapa final'!$Z$43="Muy Alta",'Mapa final'!$AB$43="Menor"),CONCATENATE("R4C",'Mapa final'!$P$43),"")</f>
        <v/>
      </c>
      <c r="R9" s="10" t="str">
        <f>IF(AND('Mapa final'!$Z$44="Muy Alta",'Mapa final'!$AB$44="Menor"),CONCATENATE("R4C",'Mapa final'!$P$44),"")</f>
        <v/>
      </c>
      <c r="S9" s="10" t="str">
        <f>IF(AND('Mapa final'!$Z$45="Muy Alta",'Mapa final'!$AB$45="Menor"),CONCATENATE("R4C",'Mapa final'!$P$45),"")</f>
        <v/>
      </c>
      <c r="T9" s="10" t="str">
        <f>IF(AND('Mapa final'!$Z$46="Muy Alta",'Mapa final'!$AB$46="Menor"),CONCATENATE("R4C",'Mapa final'!$P$46),"")</f>
        <v/>
      </c>
      <c r="U9" s="11" t="str">
        <f>IF(AND('Mapa final'!$Z$47="Muy Alta",'Mapa final'!$AB$47="Menor"),CONCATENATE("R4C",'Mapa final'!$P$47),"")</f>
        <v/>
      </c>
      <c r="V9" s="9" t="str">
        <f>IF(AND('Mapa final'!$Z$42="Muy Alta",'Mapa final'!$AB$42="Moderado"),CONCATENATE("R4C",'Mapa final'!$P$42),"")</f>
        <v/>
      </c>
      <c r="W9" s="10" t="str">
        <f>IF(AND('Mapa final'!$Z$43="Muy Alta",'Mapa final'!$AB$43="Moderado"),CONCATENATE("R4C",'Mapa final'!$P$43),"")</f>
        <v/>
      </c>
      <c r="X9" s="10" t="str">
        <f>IF(AND('Mapa final'!$Z$44="Muy Alta",'Mapa final'!$AB$44="Moderado"),CONCATENATE("R4C",'Mapa final'!$P$44),"")</f>
        <v/>
      </c>
      <c r="Y9" s="10" t="str">
        <f>IF(AND('Mapa final'!$Z$45="Muy Alta",'Mapa final'!$AB$45="Moderado"),CONCATENATE("R4C",'Mapa final'!$P$45),"")</f>
        <v/>
      </c>
      <c r="Z9" s="10" t="str">
        <f>IF(AND('Mapa final'!$Z$46="Muy Alta",'Mapa final'!$AB$46="Moderado"),CONCATENATE("R4C",'Mapa final'!$P$46),"")</f>
        <v/>
      </c>
      <c r="AA9" s="11" t="str">
        <f>IF(AND('Mapa final'!$Z$47="Muy Alta",'Mapa final'!$AB$47="Moderado"),CONCATENATE("R4C",'Mapa final'!$P$47),"")</f>
        <v/>
      </c>
      <c r="AB9" s="9" t="str">
        <f>IF(AND('Mapa final'!$Z$42="Muy Alta",'Mapa final'!$AB$42="Mayor"),CONCATENATE("R4C",'Mapa final'!$P$42),"")</f>
        <v/>
      </c>
      <c r="AC9" s="10" t="str">
        <f>IF(AND('Mapa final'!$Z$43="Muy Alta",'Mapa final'!$AB$43="Mayor"),CONCATENATE("R4C",'Mapa final'!$P$43),"")</f>
        <v/>
      </c>
      <c r="AD9" s="10" t="str">
        <f>IF(AND('Mapa final'!$Z$44="Muy Alta",'Mapa final'!$AB$44="Mayor"),CONCATENATE("R4C",'Mapa final'!$P$44),"")</f>
        <v/>
      </c>
      <c r="AE9" s="10" t="str">
        <f>IF(AND('Mapa final'!$Z$45="Muy Alta",'Mapa final'!$AB$45="Mayor"),CONCATENATE("R4C",'Mapa final'!$P$45),"")</f>
        <v/>
      </c>
      <c r="AF9" s="10" t="str">
        <f>IF(AND('Mapa final'!$Z$46="Muy Alta",'Mapa final'!$AB$46="Mayor"),CONCATENATE("R4C",'Mapa final'!$P$46),"")</f>
        <v/>
      </c>
      <c r="AG9" s="11" t="str">
        <f>IF(AND('Mapa final'!$Z$47="Muy Alta",'Mapa final'!$AB$47="Mayor"),CONCATENATE("R4C",'Mapa final'!$P$47),"")</f>
        <v/>
      </c>
      <c r="AH9" s="12" t="str">
        <f>IF(AND('Mapa final'!$Z$42="Muy Alta",'Mapa final'!$AB$42="Catastrófico"),CONCATENATE("R4C",'Mapa final'!$P$42),"")</f>
        <v/>
      </c>
      <c r="AI9" s="13" t="str">
        <f>IF(AND('Mapa final'!$Z$43="Muy Alta",'Mapa final'!$AB$43="Catastrófico"),CONCATENATE("R4C",'Mapa final'!$P$43),"")</f>
        <v/>
      </c>
      <c r="AJ9" s="13" t="str">
        <f>IF(AND('Mapa final'!$Z$44="Muy Alta",'Mapa final'!$AB$44="Catastrófico"),CONCATENATE("R4C",'Mapa final'!$P$44),"")</f>
        <v/>
      </c>
      <c r="AK9" s="13" t="str">
        <f>IF(AND('Mapa final'!$Z$45="Muy Alta",'Mapa final'!$AB$45="Catastrófico"),CONCATENATE("R4C",'Mapa final'!$P$45),"")</f>
        <v/>
      </c>
      <c r="AL9" s="13" t="str">
        <f>IF(AND('Mapa final'!$Z$46="Muy Alta",'Mapa final'!$AB$46="Catastrófico"),CONCATENATE("R4C",'Mapa final'!$P$46),"")</f>
        <v/>
      </c>
      <c r="AM9" s="14" t="str">
        <f>IF(AND('Mapa final'!$Z$47="Muy Alta",'Mapa final'!$AB$47="Catastrófico"),CONCATENATE("R4C",'Mapa final'!$P$47),"")</f>
        <v/>
      </c>
      <c r="AN9" s="40"/>
      <c r="AO9" s="464"/>
      <c r="AP9" s="465"/>
      <c r="AQ9" s="465"/>
      <c r="AR9" s="465"/>
      <c r="AS9" s="465"/>
      <c r="AT9" s="466"/>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row>
    <row r="10" spans="1:91" ht="15" customHeight="1" x14ac:dyDescent="0.25">
      <c r="A10" s="40"/>
      <c r="B10" s="359"/>
      <c r="C10" s="359"/>
      <c r="D10" s="360"/>
      <c r="E10" s="458"/>
      <c r="F10" s="457"/>
      <c r="G10" s="457"/>
      <c r="H10" s="457"/>
      <c r="I10" s="473"/>
      <c r="J10" s="9" t="str">
        <f>IF(AND('Mapa final'!$Z$48="Muy Alta",'Mapa final'!$AB$48="Leve"),CONCATENATE("R5C",'Mapa final'!$P$48),"")</f>
        <v/>
      </c>
      <c r="K10" s="10" t="str">
        <f>IF(AND('Mapa final'!$Z$49="Muy Alta",'Mapa final'!$AB$49="Leve"),CONCATENATE("R5C",'Mapa final'!$P$49),"")</f>
        <v/>
      </c>
      <c r="L10" s="10" t="str">
        <f>IF(AND('Mapa final'!$Z$50="Muy Alta",'Mapa final'!$AB$50="Leve"),CONCATENATE("R5C",'Mapa final'!$P$50),"")</f>
        <v/>
      </c>
      <c r="M10" s="10" t="str">
        <f>IF(AND('Mapa final'!$Z$51="Muy Alta",'Mapa final'!$AB$51="Leve"),CONCATENATE("R5C",'Mapa final'!$P$51),"")</f>
        <v/>
      </c>
      <c r="N10" s="10" t="str">
        <f>IF(AND('Mapa final'!$Z$52="Muy Alta",'Mapa final'!$AB$52="Leve"),CONCATENATE("R5C",'Mapa final'!$P$52),"")</f>
        <v/>
      </c>
      <c r="O10" s="11" t="str">
        <f>IF(AND('Mapa final'!$Z$53="Muy Alta",'Mapa final'!$AB$53="Leve"),CONCATENATE("R5C",'Mapa final'!$P$53),"")</f>
        <v/>
      </c>
      <c r="P10" s="9" t="str">
        <f>IF(AND('Mapa final'!$Z$48="Muy Alta",'Mapa final'!$AB$48="Menor"),CONCATENATE("R5C",'Mapa final'!$P$48),"")</f>
        <v/>
      </c>
      <c r="Q10" s="10" t="str">
        <f>IF(AND('Mapa final'!$Z$49="Muy Alta",'Mapa final'!$AB$49="Menor"),CONCATENATE("R5C",'Mapa final'!$P$49),"")</f>
        <v/>
      </c>
      <c r="R10" s="10" t="str">
        <f>IF(AND('Mapa final'!$Z$50="Muy Alta",'Mapa final'!$AB$50="Menor"),CONCATENATE("R5C",'Mapa final'!$P$50),"")</f>
        <v/>
      </c>
      <c r="S10" s="10" t="str">
        <f>IF(AND('Mapa final'!$Z$51="Muy Alta",'Mapa final'!$AB$51="Menor"),CONCATENATE("R5C",'Mapa final'!$P$51),"")</f>
        <v/>
      </c>
      <c r="T10" s="10" t="str">
        <f>IF(AND('Mapa final'!$Z$52="Muy Alta",'Mapa final'!$AB$52="Menor"),CONCATENATE("R5C",'Mapa final'!$P$52),"")</f>
        <v/>
      </c>
      <c r="U10" s="11" t="str">
        <f>IF(AND('Mapa final'!$Z$53="Muy Alta",'Mapa final'!$AB$53="Menor"),CONCATENATE("R5C",'Mapa final'!$P$53),"")</f>
        <v/>
      </c>
      <c r="V10" s="9" t="str">
        <f>IF(AND('Mapa final'!$Z$48="Muy Alta",'Mapa final'!$AB$48="Moderado"),CONCATENATE("R5C",'Mapa final'!$P$48),"")</f>
        <v/>
      </c>
      <c r="W10" s="10" t="str">
        <f>IF(AND('Mapa final'!$Z$49="Muy Alta",'Mapa final'!$AB$49="Moderado"),CONCATENATE("R5C",'Mapa final'!$P$49),"")</f>
        <v/>
      </c>
      <c r="X10" s="10" t="str">
        <f>IF(AND('Mapa final'!$Z$50="Muy Alta",'Mapa final'!$AB$50="Moderado"),CONCATENATE("R5C",'Mapa final'!$P$50),"")</f>
        <v/>
      </c>
      <c r="Y10" s="10" t="str">
        <f>IF(AND('Mapa final'!$Z$51="Muy Alta",'Mapa final'!$AB$51="Moderado"),CONCATENATE("R5C",'Mapa final'!$P$51),"")</f>
        <v/>
      </c>
      <c r="Z10" s="10" t="str">
        <f>IF(AND('Mapa final'!$Z$52="Muy Alta",'Mapa final'!$AB$52="Moderado"),CONCATENATE("R5C",'Mapa final'!$P$52),"")</f>
        <v/>
      </c>
      <c r="AA10" s="11" t="str">
        <f>IF(AND('Mapa final'!$Z$53="Muy Alta",'Mapa final'!$AB$53="Moderado"),CONCATENATE("R5C",'Mapa final'!$P$53),"")</f>
        <v/>
      </c>
      <c r="AB10" s="9" t="str">
        <f>IF(AND('Mapa final'!$Z$48="Muy Alta",'Mapa final'!$AB$48="Mayor"),CONCATENATE("R5C",'Mapa final'!$P$48),"")</f>
        <v/>
      </c>
      <c r="AC10" s="10" t="str">
        <f>IF(AND('Mapa final'!$Z$49="Muy Alta",'Mapa final'!$AB$49="Mayor"),CONCATENATE("R5C",'Mapa final'!$P$49),"")</f>
        <v/>
      </c>
      <c r="AD10" s="10" t="str">
        <f>IF(AND('Mapa final'!$Z$50="Muy Alta",'Mapa final'!$AB$50="Mayor"),CONCATENATE("R5C",'Mapa final'!$P$50),"")</f>
        <v/>
      </c>
      <c r="AE10" s="10" t="str">
        <f>IF(AND('Mapa final'!$Z$51="Muy Alta",'Mapa final'!$AB$51="Mayor"),CONCATENATE("R5C",'Mapa final'!$P$51),"")</f>
        <v/>
      </c>
      <c r="AF10" s="10" t="str">
        <f>IF(AND('Mapa final'!$Z$52="Muy Alta",'Mapa final'!$AB$52="Mayor"),CONCATENATE("R5C",'Mapa final'!$P$52),"")</f>
        <v/>
      </c>
      <c r="AG10" s="11" t="str">
        <f>IF(AND('Mapa final'!$Z$53="Muy Alta",'Mapa final'!$AB$53="Mayor"),CONCATENATE("R5C",'Mapa final'!$P$53),"")</f>
        <v/>
      </c>
      <c r="AH10" s="12" t="str">
        <f>IF(AND('Mapa final'!$Z$48="Muy Alta",'Mapa final'!$AB$48="Catastrófico"),CONCATENATE("R5C",'Mapa final'!$P$48),"")</f>
        <v/>
      </c>
      <c r="AI10" s="13" t="str">
        <f>IF(AND('Mapa final'!$Z$49="Muy Alta",'Mapa final'!$AB$49="Catastrófico"),CONCATENATE("R5C",'Mapa final'!$P$49),"")</f>
        <v/>
      </c>
      <c r="AJ10" s="13" t="str">
        <f>IF(AND('Mapa final'!$Z$50="Muy Alta",'Mapa final'!$AB$50="Catastrófico"),CONCATENATE("R5C",'Mapa final'!$P$50),"")</f>
        <v/>
      </c>
      <c r="AK10" s="13" t="str">
        <f>IF(AND('Mapa final'!$Z$51="Muy Alta",'Mapa final'!$AB$51="Catastrófico"),CONCATENATE("R5C",'Mapa final'!$P$51),"")</f>
        <v/>
      </c>
      <c r="AL10" s="13" t="str">
        <f>IF(AND('Mapa final'!$Z$52="Muy Alta",'Mapa final'!$AB$52="Catastrófico"),CONCATENATE("R5C",'Mapa final'!$P$52),"")</f>
        <v/>
      </c>
      <c r="AM10" s="14" t="str">
        <f>IF(AND('Mapa final'!$Z$53="Muy Alta",'Mapa final'!$AB$53="Catastrófico"),CONCATENATE("R5C",'Mapa final'!$P$53),"")</f>
        <v/>
      </c>
      <c r="AN10" s="40"/>
      <c r="AO10" s="464"/>
      <c r="AP10" s="465"/>
      <c r="AQ10" s="465"/>
      <c r="AR10" s="465"/>
      <c r="AS10" s="465"/>
      <c r="AT10" s="466"/>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row>
    <row r="11" spans="1:91" ht="15" customHeight="1" x14ac:dyDescent="0.25">
      <c r="A11" s="40"/>
      <c r="B11" s="359"/>
      <c r="C11" s="359"/>
      <c r="D11" s="360"/>
      <c r="E11" s="458"/>
      <c r="F11" s="457"/>
      <c r="G11" s="457"/>
      <c r="H11" s="457"/>
      <c r="I11" s="473"/>
      <c r="J11" s="9" t="str">
        <f>IF(AND('Mapa final'!$Z$54="Muy Alta",'Mapa final'!$AB$54="Leve"),CONCATENATE("R6C",'Mapa final'!$P$54),"")</f>
        <v/>
      </c>
      <c r="K11" s="10" t="str">
        <f>IF(AND('Mapa final'!$Z$55="Muy Alta",'Mapa final'!$AB$55="Leve"),CONCATENATE("R6C",'Mapa final'!$P$55),"")</f>
        <v/>
      </c>
      <c r="L11" s="10" t="str">
        <f>IF(AND('Mapa final'!$Z$56="Muy Alta",'Mapa final'!$AB$56="Leve"),CONCATENATE("R6C",'Mapa final'!$P$56),"")</f>
        <v/>
      </c>
      <c r="M11" s="10" t="str">
        <f>IF(AND('Mapa final'!$Z$57="Muy Alta",'Mapa final'!$AB$57="Leve"),CONCATENATE("R6C",'Mapa final'!$P$57),"")</f>
        <v/>
      </c>
      <c r="N11" s="10" t="str">
        <f>IF(AND('Mapa final'!$Z$58="Muy Alta",'Mapa final'!$AB$58="Leve"),CONCATENATE("R6C",'Mapa final'!$P$58),"")</f>
        <v/>
      </c>
      <c r="O11" s="11" t="str">
        <f>IF(AND('Mapa final'!$Z$59="Muy Alta",'Mapa final'!$AB$59="Leve"),CONCATENATE("R6C",'Mapa final'!$P$59),"")</f>
        <v/>
      </c>
      <c r="P11" s="9" t="str">
        <f>IF(AND('Mapa final'!$Z$54="Muy Alta",'Mapa final'!$AB$54="Menor"),CONCATENATE("R6C",'Mapa final'!$P$54),"")</f>
        <v/>
      </c>
      <c r="Q11" s="10" t="str">
        <f>IF(AND('Mapa final'!$Z$55="Muy Alta",'Mapa final'!$AB$55="Menor"),CONCATENATE("R6C",'Mapa final'!$P$55),"")</f>
        <v/>
      </c>
      <c r="R11" s="10" t="str">
        <f>IF(AND('Mapa final'!$Z$56="Muy Alta",'Mapa final'!$AB$56="Menor"),CONCATENATE("R6C",'Mapa final'!$P$56),"")</f>
        <v/>
      </c>
      <c r="S11" s="10" t="str">
        <f>IF(AND('Mapa final'!$Z$57="Muy Alta",'Mapa final'!$AB$57="Menor"),CONCATENATE("R6C",'Mapa final'!$P$57),"")</f>
        <v/>
      </c>
      <c r="T11" s="10" t="str">
        <f>IF(AND('Mapa final'!$Z$58="Muy Alta",'Mapa final'!$AB$58="Menor"),CONCATENATE("R6C",'Mapa final'!$P$58),"")</f>
        <v/>
      </c>
      <c r="U11" s="11" t="str">
        <f>IF(AND('Mapa final'!$Z$59="Muy Alta",'Mapa final'!$AB$59="Menor"),CONCATENATE("R6C",'Mapa final'!$P$59),"")</f>
        <v/>
      </c>
      <c r="V11" s="9" t="str">
        <f>IF(AND('Mapa final'!$Z$54="Muy Alta",'Mapa final'!$AB$54="Moderado"),CONCATENATE("R6C",'Mapa final'!$P$54),"")</f>
        <v/>
      </c>
      <c r="W11" s="10" t="str">
        <f>IF(AND('Mapa final'!$Z$55="Muy Alta",'Mapa final'!$AB$55="Moderado"),CONCATENATE("R6C",'Mapa final'!$P$55),"")</f>
        <v/>
      </c>
      <c r="X11" s="10" t="str">
        <f>IF(AND('Mapa final'!$Z$56="Muy Alta",'Mapa final'!$AB$56="Moderado"),CONCATENATE("R6C",'Mapa final'!$P$56),"")</f>
        <v/>
      </c>
      <c r="Y11" s="10" t="str">
        <f>IF(AND('Mapa final'!$Z$57="Muy Alta",'Mapa final'!$AB$57="Moderado"),CONCATENATE("R6C",'Mapa final'!$P$57),"")</f>
        <v/>
      </c>
      <c r="Z11" s="10" t="str">
        <f>IF(AND('Mapa final'!$Z$58="Muy Alta",'Mapa final'!$AB$58="Moderado"),CONCATENATE("R6C",'Mapa final'!$P$58),"")</f>
        <v/>
      </c>
      <c r="AA11" s="11" t="str">
        <f>IF(AND('Mapa final'!$Z$59="Muy Alta",'Mapa final'!$AB$59="Moderado"),CONCATENATE("R6C",'Mapa final'!$P$59),"")</f>
        <v/>
      </c>
      <c r="AB11" s="9" t="str">
        <f>IF(AND('Mapa final'!$Z$54="Muy Alta",'Mapa final'!$AB$54="Mayor"),CONCATENATE("R6C",'Mapa final'!$P$54),"")</f>
        <v/>
      </c>
      <c r="AC11" s="10" t="str">
        <f>IF(AND('Mapa final'!$Z$55="Muy Alta",'Mapa final'!$AB$55="Mayor"),CONCATENATE("R6C",'Mapa final'!$P$55),"")</f>
        <v/>
      </c>
      <c r="AD11" s="10" t="str">
        <f>IF(AND('Mapa final'!$Z$56="Muy Alta",'Mapa final'!$AB$56="Mayor"),CONCATENATE("R6C",'Mapa final'!$P$56),"")</f>
        <v/>
      </c>
      <c r="AE11" s="10" t="str">
        <f>IF(AND('Mapa final'!$Z$57="Muy Alta",'Mapa final'!$AB$57="Mayor"),CONCATENATE("R6C",'Mapa final'!$P$57),"")</f>
        <v/>
      </c>
      <c r="AF11" s="10" t="str">
        <f>IF(AND('Mapa final'!$Z$58="Muy Alta",'Mapa final'!$AB$58="Mayor"),CONCATENATE("R6C",'Mapa final'!$P$58),"")</f>
        <v/>
      </c>
      <c r="AG11" s="11" t="str">
        <f>IF(AND('Mapa final'!$Z$59="Muy Alta",'Mapa final'!$AB$59="Mayor"),CONCATENATE("R6C",'Mapa final'!$P$59),"")</f>
        <v/>
      </c>
      <c r="AH11" s="12" t="str">
        <f>IF(AND('Mapa final'!$Z$54="Muy Alta",'Mapa final'!$AB$54="Catastrófico"),CONCATENATE("R6C",'Mapa final'!$P$54),"")</f>
        <v/>
      </c>
      <c r="AI11" s="13" t="str">
        <f>IF(AND('Mapa final'!$Z$55="Muy Alta",'Mapa final'!$AB$55="Catastrófico"),CONCATENATE("R6C",'Mapa final'!$P$55),"")</f>
        <v/>
      </c>
      <c r="AJ11" s="13" t="str">
        <f>IF(AND('Mapa final'!$Z$56="Muy Alta",'Mapa final'!$AB$56="Catastrófico"),CONCATENATE("R6C",'Mapa final'!$P$56),"")</f>
        <v/>
      </c>
      <c r="AK11" s="13" t="str">
        <f>IF(AND('Mapa final'!$Z$57="Muy Alta",'Mapa final'!$AB$57="Catastrófico"),CONCATENATE("R6C",'Mapa final'!$P$57),"")</f>
        <v/>
      </c>
      <c r="AL11" s="13" t="str">
        <f>IF(AND('Mapa final'!$Z$58="Muy Alta",'Mapa final'!$AB$58="Catastrófico"),CONCATENATE("R6C",'Mapa final'!$P$58),"")</f>
        <v/>
      </c>
      <c r="AM11" s="14" t="str">
        <f>IF(AND('Mapa final'!$Z$59="Muy Alta",'Mapa final'!$AB$59="Catastrófico"),CONCATENATE("R6C",'Mapa final'!$P$59),"")</f>
        <v/>
      </c>
      <c r="AN11" s="40"/>
      <c r="AO11" s="464"/>
      <c r="AP11" s="465"/>
      <c r="AQ11" s="465"/>
      <c r="AR11" s="465"/>
      <c r="AS11" s="465"/>
      <c r="AT11" s="466"/>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row>
    <row r="12" spans="1:91" ht="15" customHeight="1" x14ac:dyDescent="0.25">
      <c r="A12" s="40"/>
      <c r="B12" s="359"/>
      <c r="C12" s="359"/>
      <c r="D12" s="360"/>
      <c r="E12" s="458"/>
      <c r="F12" s="457"/>
      <c r="G12" s="457"/>
      <c r="H12" s="457"/>
      <c r="I12" s="473"/>
      <c r="J12" s="9" t="str">
        <f>IF(AND('Mapa final'!$Z$60="Muy Alta",'Mapa final'!$AB$60="Leve"),CONCATENATE("R7C",'Mapa final'!$P$60),"")</f>
        <v/>
      </c>
      <c r="K12" s="10" t="str">
        <f>IF(AND('Mapa final'!$Z$61="Muy Alta",'Mapa final'!$AB$61="Leve"),CONCATENATE("R7C",'Mapa final'!$P$61),"")</f>
        <v/>
      </c>
      <c r="L12" s="10" t="str">
        <f>IF(AND('Mapa final'!$Z$62="Muy Alta",'Mapa final'!$AB$62="Leve"),CONCATENATE("R7C",'Mapa final'!$P$62),"")</f>
        <v/>
      </c>
      <c r="M12" s="10" t="str">
        <f>IF(AND('Mapa final'!$Z$63="Muy Alta",'Mapa final'!$AB$63="Leve"),CONCATENATE("R7C",'Mapa final'!$P$63),"")</f>
        <v/>
      </c>
      <c r="N12" s="10" t="str">
        <f>IF(AND('Mapa final'!$Z$64="Muy Alta",'Mapa final'!$AB$64="Leve"),CONCATENATE("R7C",'Mapa final'!$P$64),"")</f>
        <v/>
      </c>
      <c r="O12" s="11" t="str">
        <f>IF(AND('Mapa final'!$Z$65="Muy Alta",'Mapa final'!$AB$65="Leve"),CONCATENATE("R7C",'Mapa final'!$P$65),"")</f>
        <v/>
      </c>
      <c r="P12" s="9" t="str">
        <f>IF(AND('Mapa final'!$Z$60="Muy Alta",'Mapa final'!$AB$60="Menor"),CONCATENATE("R7C",'Mapa final'!$P$60),"")</f>
        <v/>
      </c>
      <c r="Q12" s="10" t="str">
        <f>IF(AND('Mapa final'!$Z$61="Muy Alta",'Mapa final'!$AB$61="Menor"),CONCATENATE("R7C",'Mapa final'!$P$61),"")</f>
        <v/>
      </c>
      <c r="R12" s="10" t="str">
        <f>IF(AND('Mapa final'!$Z$62="Muy Alta",'Mapa final'!$AB$62="Menor"),CONCATENATE("R7C",'Mapa final'!$P$62),"")</f>
        <v/>
      </c>
      <c r="S12" s="10" t="str">
        <f>IF(AND('Mapa final'!$Z$63="Muy Alta",'Mapa final'!$AB$63="Menor"),CONCATENATE("R7C",'Mapa final'!$P$63),"")</f>
        <v/>
      </c>
      <c r="T12" s="10" t="str">
        <f>IF(AND('Mapa final'!$Z$64="Muy Alta",'Mapa final'!$AB$64="Menor"),CONCATENATE("R7C",'Mapa final'!$P$64),"")</f>
        <v/>
      </c>
      <c r="U12" s="11" t="str">
        <f>IF(AND('Mapa final'!$Z$65="Muy Alta",'Mapa final'!$AB$65="Menor"),CONCATENATE("R7C",'Mapa final'!$P$65),"")</f>
        <v/>
      </c>
      <c r="V12" s="9" t="str">
        <f>IF(AND('Mapa final'!$Z$60="Muy Alta",'Mapa final'!$AB$60="Moderado"),CONCATENATE("R7C",'Mapa final'!$P$60),"")</f>
        <v/>
      </c>
      <c r="W12" s="10" t="str">
        <f>IF(AND('Mapa final'!$Z$61="Muy Alta",'Mapa final'!$AB$61="Moderado"),CONCATENATE("R7C",'Mapa final'!$P$61),"")</f>
        <v/>
      </c>
      <c r="X12" s="10" t="str">
        <f>IF(AND('Mapa final'!$Z$62="Muy Alta",'Mapa final'!$AB$62="Moderado"),CONCATENATE("R7C",'Mapa final'!$P$62),"")</f>
        <v/>
      </c>
      <c r="Y12" s="10" t="str">
        <f>IF(AND('Mapa final'!$Z$63="Muy Alta",'Mapa final'!$AB$63="Moderado"),CONCATENATE("R7C",'Mapa final'!$P$63),"")</f>
        <v/>
      </c>
      <c r="Z12" s="10" t="str">
        <f>IF(AND('Mapa final'!$Z$64="Muy Alta",'Mapa final'!$AB$64="Moderado"),CONCATENATE("R7C",'Mapa final'!$P$64),"")</f>
        <v/>
      </c>
      <c r="AA12" s="11" t="str">
        <f>IF(AND('Mapa final'!$Z$65="Muy Alta",'Mapa final'!$AB$65="Moderado"),CONCATENATE("R7C",'Mapa final'!$P$65),"")</f>
        <v/>
      </c>
      <c r="AB12" s="9" t="str">
        <f>IF(AND('Mapa final'!$Z$60="Muy Alta",'Mapa final'!$AB$60="Mayor"),CONCATENATE("R7C",'Mapa final'!$P$60),"")</f>
        <v/>
      </c>
      <c r="AC12" s="10" t="str">
        <f>IF(AND('Mapa final'!$Z$61="Muy Alta",'Mapa final'!$AB$61="Mayor"),CONCATENATE("R7C",'Mapa final'!$P$61),"")</f>
        <v/>
      </c>
      <c r="AD12" s="10" t="str">
        <f>IF(AND('Mapa final'!$Z$62="Muy Alta",'Mapa final'!$AB$62="Mayor"),CONCATENATE("R7C",'Mapa final'!$P$62),"")</f>
        <v/>
      </c>
      <c r="AE12" s="10" t="str">
        <f>IF(AND('Mapa final'!$Z$63="Muy Alta",'Mapa final'!$AB$63="Mayor"),CONCATENATE("R7C",'Mapa final'!$P$63),"")</f>
        <v/>
      </c>
      <c r="AF12" s="10" t="str">
        <f>IF(AND('Mapa final'!$Z$64="Muy Alta",'Mapa final'!$AB$64="Mayor"),CONCATENATE("R7C",'Mapa final'!$P$64),"")</f>
        <v/>
      </c>
      <c r="AG12" s="11" t="str">
        <f>IF(AND('Mapa final'!$Z$65="Muy Alta",'Mapa final'!$AB$65="Mayor"),CONCATENATE("R7C",'Mapa final'!$P$65),"")</f>
        <v/>
      </c>
      <c r="AH12" s="12" t="str">
        <f>IF(AND('Mapa final'!$Z$60="Muy Alta",'Mapa final'!$AB$60="Catastrófico"),CONCATENATE("R7C",'Mapa final'!$P$60),"")</f>
        <v/>
      </c>
      <c r="AI12" s="13" t="str">
        <f>IF(AND('Mapa final'!$Z$61="Muy Alta",'Mapa final'!$AB$61="Catastrófico"),CONCATENATE("R7C",'Mapa final'!$P$61),"")</f>
        <v/>
      </c>
      <c r="AJ12" s="13" t="str">
        <f>IF(AND('Mapa final'!$Z$62="Muy Alta",'Mapa final'!$AB$62="Catastrófico"),CONCATENATE("R7C",'Mapa final'!$P$62),"")</f>
        <v/>
      </c>
      <c r="AK12" s="13" t="str">
        <f>IF(AND('Mapa final'!$Z$63="Muy Alta",'Mapa final'!$AB$63="Catastrófico"),CONCATENATE("R7C",'Mapa final'!$P$63),"")</f>
        <v/>
      </c>
      <c r="AL12" s="13" t="str">
        <f>IF(AND('Mapa final'!$Z$64="Muy Alta",'Mapa final'!$AB$64="Catastrófico"),CONCATENATE("R7C",'Mapa final'!$P$64),"")</f>
        <v/>
      </c>
      <c r="AM12" s="14" t="str">
        <f>IF(AND('Mapa final'!$Z$65="Muy Alta",'Mapa final'!$AB$65="Catastrófico"),CONCATENATE("R7C",'Mapa final'!$P$65),"")</f>
        <v/>
      </c>
      <c r="AN12" s="40"/>
      <c r="AO12" s="464"/>
      <c r="AP12" s="465"/>
      <c r="AQ12" s="465"/>
      <c r="AR12" s="465"/>
      <c r="AS12" s="465"/>
      <c r="AT12" s="466"/>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row>
    <row r="13" spans="1:91" ht="15" customHeight="1" x14ac:dyDescent="0.25">
      <c r="A13" s="40"/>
      <c r="B13" s="359"/>
      <c r="C13" s="359"/>
      <c r="D13" s="360"/>
      <c r="E13" s="458"/>
      <c r="F13" s="457"/>
      <c r="G13" s="457"/>
      <c r="H13" s="457"/>
      <c r="I13" s="473"/>
      <c r="J13" s="9" t="str">
        <f>IF(AND('Mapa final'!$Z$66="Muy Alta",'Mapa final'!$AB$66="Leve"),CONCATENATE("R8C",'Mapa final'!$P$66),"")</f>
        <v/>
      </c>
      <c r="K13" s="10" t="str">
        <f>IF(AND('Mapa final'!$Z$67="Muy Alta",'Mapa final'!$AB$67="Leve"),CONCATENATE("R8C",'Mapa final'!$P$67),"")</f>
        <v/>
      </c>
      <c r="L13" s="10" t="str">
        <f>IF(AND('Mapa final'!$Z$68="Muy Alta",'Mapa final'!$AB$68="Leve"),CONCATENATE("R8C",'Mapa final'!$P$68),"")</f>
        <v/>
      </c>
      <c r="M13" s="10" t="str">
        <f>IF(AND('Mapa final'!$Z$69="Muy Alta",'Mapa final'!$AB$69="Leve"),CONCATENATE("R8C",'Mapa final'!$P$69),"")</f>
        <v/>
      </c>
      <c r="N13" s="10" t="str">
        <f>IF(AND('Mapa final'!$Z$70="Muy Alta",'Mapa final'!$AB$70="Leve"),CONCATENATE("R8C",'Mapa final'!$P$70),"")</f>
        <v/>
      </c>
      <c r="O13" s="11" t="str">
        <f>IF(AND('Mapa final'!$Z$71="Muy Alta",'Mapa final'!$AB$71="Leve"),CONCATENATE("R8C",'Mapa final'!$P$71),"")</f>
        <v/>
      </c>
      <c r="P13" s="9" t="str">
        <f>IF(AND('Mapa final'!$Z$66="Muy Alta",'Mapa final'!$AB$66="Menor"),CONCATENATE("R8C",'Mapa final'!$P$66),"")</f>
        <v/>
      </c>
      <c r="Q13" s="10" t="str">
        <f>IF(AND('Mapa final'!$Z$67="Muy Alta",'Mapa final'!$AB$67="Menor"),CONCATENATE("R8C",'Mapa final'!$P$67),"")</f>
        <v/>
      </c>
      <c r="R13" s="10" t="str">
        <f>IF(AND('Mapa final'!$Z$68="Muy Alta",'Mapa final'!$AB$68="Menor"),CONCATENATE("R8C",'Mapa final'!$P$68),"")</f>
        <v/>
      </c>
      <c r="S13" s="10" t="str">
        <f>IF(AND('Mapa final'!$Z$69="Muy Alta",'Mapa final'!$AB$69="Menor"),CONCATENATE("R8C",'Mapa final'!$P$69),"")</f>
        <v/>
      </c>
      <c r="T13" s="10" t="str">
        <f>IF(AND('Mapa final'!$Z$70="Muy Alta",'Mapa final'!$AB$70="Menor"),CONCATENATE("R8C",'Mapa final'!$P$70),"")</f>
        <v/>
      </c>
      <c r="U13" s="11" t="str">
        <f>IF(AND('Mapa final'!$Z$71="Muy Alta",'Mapa final'!$AB$71="Menor"),CONCATENATE("R8C",'Mapa final'!$P$71),"")</f>
        <v/>
      </c>
      <c r="V13" s="9" t="str">
        <f>IF(AND('Mapa final'!$Z$66="Muy Alta",'Mapa final'!$AB$66="Moderado"),CONCATENATE("R8C",'Mapa final'!$P$66),"")</f>
        <v/>
      </c>
      <c r="W13" s="10" t="str">
        <f>IF(AND('Mapa final'!$Z$67="Muy Alta",'Mapa final'!$AB$67="Moderado"),CONCATENATE("R8C",'Mapa final'!$P$67),"")</f>
        <v/>
      </c>
      <c r="X13" s="10" t="str">
        <f>IF(AND('Mapa final'!$Z$68="Muy Alta",'Mapa final'!$AB$68="Moderado"),CONCATENATE("R8C",'Mapa final'!$P$68),"")</f>
        <v/>
      </c>
      <c r="Y13" s="10" t="str">
        <f>IF(AND('Mapa final'!$Z$69="Muy Alta",'Mapa final'!$AB$69="Moderado"),CONCATENATE("R8C",'Mapa final'!$P$69),"")</f>
        <v/>
      </c>
      <c r="Z13" s="10" t="str">
        <f>IF(AND('Mapa final'!$Z$70="Muy Alta",'Mapa final'!$AB$70="Moderado"),CONCATENATE("R8C",'Mapa final'!$P$70),"")</f>
        <v/>
      </c>
      <c r="AA13" s="11" t="str">
        <f>IF(AND('Mapa final'!$Z$71="Muy Alta",'Mapa final'!$AB$71="Moderado"),CONCATENATE("R8C",'Mapa final'!$P$71),"")</f>
        <v/>
      </c>
      <c r="AB13" s="9" t="str">
        <f>IF(AND('Mapa final'!$Z$66="Muy Alta",'Mapa final'!$AB$66="Mayor"),CONCATENATE("R8C",'Mapa final'!$P$66),"")</f>
        <v/>
      </c>
      <c r="AC13" s="10" t="str">
        <f>IF(AND('Mapa final'!$Z$67="Muy Alta",'Mapa final'!$AB$67="Mayor"),CONCATENATE("R8C",'Mapa final'!$P$67),"")</f>
        <v/>
      </c>
      <c r="AD13" s="10" t="str">
        <f>IF(AND('Mapa final'!$Z$68="Muy Alta",'Mapa final'!$AB$68="Mayor"),CONCATENATE("R8C",'Mapa final'!$P$68),"")</f>
        <v/>
      </c>
      <c r="AE13" s="10" t="str">
        <f>IF(AND('Mapa final'!$Z$69="Muy Alta",'Mapa final'!$AB$69="Mayor"),CONCATENATE("R8C",'Mapa final'!$P$69),"")</f>
        <v/>
      </c>
      <c r="AF13" s="10" t="str">
        <f>IF(AND('Mapa final'!$Z$70="Muy Alta",'Mapa final'!$AB$70="Mayor"),CONCATENATE("R8C",'Mapa final'!$P$70),"")</f>
        <v/>
      </c>
      <c r="AG13" s="11" t="str">
        <f>IF(AND('Mapa final'!$Z$71="Muy Alta",'Mapa final'!$AB$71="Mayor"),CONCATENATE("R8C",'Mapa final'!$P$71),"")</f>
        <v/>
      </c>
      <c r="AH13" s="12" t="str">
        <f>IF(AND('Mapa final'!$Z$66="Muy Alta",'Mapa final'!$AB$66="Catastrófico"),CONCATENATE("R8C",'Mapa final'!$P$66),"")</f>
        <v/>
      </c>
      <c r="AI13" s="13" t="str">
        <f>IF(AND('Mapa final'!$Z$67="Muy Alta",'Mapa final'!$AB$67="Catastrófico"),CONCATENATE("R8C",'Mapa final'!$P$67),"")</f>
        <v/>
      </c>
      <c r="AJ13" s="13" t="str">
        <f>IF(AND('Mapa final'!$Z$68="Muy Alta",'Mapa final'!$AB$68="Catastrófico"),CONCATENATE("R8C",'Mapa final'!$P$68),"")</f>
        <v/>
      </c>
      <c r="AK13" s="13" t="str">
        <f>IF(AND('Mapa final'!$Z$69="Muy Alta",'Mapa final'!$AB$69="Catastrófico"),CONCATENATE("R8C",'Mapa final'!$P$69),"")</f>
        <v/>
      </c>
      <c r="AL13" s="13" t="str">
        <f>IF(AND('Mapa final'!$Z$70="Muy Alta",'Mapa final'!$AB$70="Catastrófico"),CONCATENATE("R8C",'Mapa final'!$P$70),"")</f>
        <v/>
      </c>
      <c r="AM13" s="14" t="str">
        <f>IF(AND('Mapa final'!$Z$71="Muy Alta",'Mapa final'!$AB$71="Catastrófico"),CONCATENATE("R8C",'Mapa final'!$P$71),"")</f>
        <v/>
      </c>
      <c r="AN13" s="40"/>
      <c r="AO13" s="464"/>
      <c r="AP13" s="465"/>
      <c r="AQ13" s="465"/>
      <c r="AR13" s="465"/>
      <c r="AS13" s="465"/>
      <c r="AT13" s="466"/>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row>
    <row r="14" spans="1:91" ht="15" customHeight="1" x14ac:dyDescent="0.25">
      <c r="A14" s="40"/>
      <c r="B14" s="359"/>
      <c r="C14" s="359"/>
      <c r="D14" s="360"/>
      <c r="E14" s="458"/>
      <c r="F14" s="457"/>
      <c r="G14" s="457"/>
      <c r="H14" s="457"/>
      <c r="I14" s="473"/>
      <c r="J14" s="9" t="str">
        <f>IF(AND('Mapa final'!$Z$72="Muy Alta",'Mapa final'!$AB$72="Leve"),CONCATENATE("R9C",'Mapa final'!$P$72),"")</f>
        <v/>
      </c>
      <c r="K14" s="10" t="str">
        <f>IF(AND('Mapa final'!$Z$73="Muy Alta",'Mapa final'!$AB$73="Leve"),CONCATENATE("R9C",'Mapa final'!$P$73),"")</f>
        <v/>
      </c>
      <c r="L14" s="10" t="str">
        <f>IF(AND('Mapa final'!$Z$74="Muy Alta",'Mapa final'!$AB$74="Leve"),CONCATENATE("R9C",'Mapa final'!$P$74),"")</f>
        <v/>
      </c>
      <c r="M14" s="10" t="str">
        <f>IF(AND('Mapa final'!$Z$75="Muy Alta",'Mapa final'!$AB$75="Leve"),CONCATENATE("R9C",'Mapa final'!$P$75),"")</f>
        <v/>
      </c>
      <c r="N14" s="10" t="str">
        <f>IF(AND('Mapa final'!$Z$76="Muy Alta",'Mapa final'!$AB$76="Leve"),CONCATENATE("R9C",'Mapa final'!$P$76),"")</f>
        <v/>
      </c>
      <c r="O14" s="11" t="str">
        <f>IF(AND('Mapa final'!$Z$77="Muy Alta",'Mapa final'!$AB$77="Leve"),CONCATENATE("R9C",'Mapa final'!$P$77),"")</f>
        <v/>
      </c>
      <c r="P14" s="9" t="str">
        <f>IF(AND('Mapa final'!$Z$72="Muy Alta",'Mapa final'!$AB$72="Menor"),CONCATENATE("R9C",'Mapa final'!$P$72),"")</f>
        <v/>
      </c>
      <c r="Q14" s="10" t="str">
        <f>IF(AND('Mapa final'!$Z$73="Muy Alta",'Mapa final'!$AB$73="Menor"),CONCATENATE("R9C",'Mapa final'!$P$73),"")</f>
        <v/>
      </c>
      <c r="R14" s="10" t="str">
        <f>IF(AND('Mapa final'!$Z$74="Muy Alta",'Mapa final'!$AB$74="Menor"),CONCATENATE("R9C",'Mapa final'!$P$74),"")</f>
        <v/>
      </c>
      <c r="S14" s="10" t="str">
        <f>IF(AND('Mapa final'!$Z$75="Muy Alta",'Mapa final'!$AB$75="Menor"),CONCATENATE("R9C",'Mapa final'!$P$75),"")</f>
        <v/>
      </c>
      <c r="T14" s="10" t="str">
        <f>IF(AND('Mapa final'!$Z$76="Muy Alta",'Mapa final'!$AB$76="Menor"),CONCATENATE("R9C",'Mapa final'!$P$76),"")</f>
        <v/>
      </c>
      <c r="U14" s="11" t="str">
        <f>IF(AND('Mapa final'!$Z$77="Muy Alta",'Mapa final'!$AB$77="Menor"),CONCATENATE("R9C",'Mapa final'!$P$77),"")</f>
        <v/>
      </c>
      <c r="V14" s="9" t="str">
        <f>IF(AND('Mapa final'!$Z$72="Muy Alta",'Mapa final'!$AB$72="Moderado"),CONCATENATE("R9C",'Mapa final'!$P$72),"")</f>
        <v/>
      </c>
      <c r="W14" s="10" t="str">
        <f>IF(AND('Mapa final'!$Z$73="Muy Alta",'Mapa final'!$AB$73="Moderado"),CONCATENATE("R9C",'Mapa final'!$P$73),"")</f>
        <v/>
      </c>
      <c r="X14" s="10" t="str">
        <f>IF(AND('Mapa final'!$Z$74="Muy Alta",'Mapa final'!$AB$74="Moderado"),CONCATENATE("R9C",'Mapa final'!$P$74),"")</f>
        <v/>
      </c>
      <c r="Y14" s="10" t="str">
        <f>IF(AND('Mapa final'!$Z$75="Muy Alta",'Mapa final'!$AB$75="Moderado"),CONCATENATE("R9C",'Mapa final'!$P$75),"")</f>
        <v/>
      </c>
      <c r="Z14" s="10" t="str">
        <f>IF(AND('Mapa final'!$Z$76="Muy Alta",'Mapa final'!$AB$76="Moderado"),CONCATENATE("R9C",'Mapa final'!$P$76),"")</f>
        <v/>
      </c>
      <c r="AA14" s="11" t="str">
        <f>IF(AND('Mapa final'!$Z$77="Muy Alta",'Mapa final'!$AB$77="Moderado"),CONCATENATE("R9C",'Mapa final'!$P$77),"")</f>
        <v/>
      </c>
      <c r="AB14" s="9" t="str">
        <f>IF(AND('Mapa final'!$Z$72="Muy Alta",'Mapa final'!$AB$72="Mayor"),CONCATENATE("R9C",'Mapa final'!$P$72),"")</f>
        <v/>
      </c>
      <c r="AC14" s="10" t="str">
        <f>IF(AND('Mapa final'!$Z$73="Muy Alta",'Mapa final'!$AB$73="Mayor"),CONCATENATE("R9C",'Mapa final'!$P$73),"")</f>
        <v/>
      </c>
      <c r="AD14" s="10" t="str">
        <f>IF(AND('Mapa final'!$Z$74="Muy Alta",'Mapa final'!$AB$74="Mayor"),CONCATENATE("R9C",'Mapa final'!$P$74),"")</f>
        <v/>
      </c>
      <c r="AE14" s="10" t="str">
        <f>IF(AND('Mapa final'!$Z$75="Muy Alta",'Mapa final'!$AB$75="Mayor"),CONCATENATE("R9C",'Mapa final'!$P$75),"")</f>
        <v/>
      </c>
      <c r="AF14" s="10" t="str">
        <f>IF(AND('Mapa final'!$Z$76="Muy Alta",'Mapa final'!$AB$76="Mayor"),CONCATENATE("R9C",'Mapa final'!$P$76),"")</f>
        <v/>
      </c>
      <c r="AG14" s="11" t="str">
        <f>IF(AND('Mapa final'!$Z$77="Muy Alta",'Mapa final'!$AB$77="Mayor"),CONCATENATE("R9C",'Mapa final'!$P$77),"")</f>
        <v/>
      </c>
      <c r="AH14" s="12" t="str">
        <f>IF(AND('Mapa final'!$Z$72="Muy Alta",'Mapa final'!$AB$72="Catastrófico"),CONCATENATE("R9C",'Mapa final'!$P$72),"")</f>
        <v/>
      </c>
      <c r="AI14" s="13" t="str">
        <f>IF(AND('Mapa final'!$Z$73="Muy Alta",'Mapa final'!$AB$73="Catastrófico"),CONCATENATE("R9C",'Mapa final'!$P$73),"")</f>
        <v/>
      </c>
      <c r="AJ14" s="13" t="str">
        <f>IF(AND('Mapa final'!$Z$74="Muy Alta",'Mapa final'!$AB$74="Catastrófico"),CONCATENATE("R9C",'Mapa final'!$P$74),"")</f>
        <v/>
      </c>
      <c r="AK14" s="13" t="str">
        <f>IF(AND('Mapa final'!$Z$75="Muy Alta",'Mapa final'!$AB$75="Catastrófico"),CONCATENATE("R9C",'Mapa final'!$P$75),"")</f>
        <v/>
      </c>
      <c r="AL14" s="13" t="str">
        <f>IF(AND('Mapa final'!$Z$76="Muy Alta",'Mapa final'!$AB$76="Catastrófico"),CONCATENATE("R9C",'Mapa final'!$P$76),"")</f>
        <v/>
      </c>
      <c r="AM14" s="14" t="str">
        <f>IF(AND('Mapa final'!$Z$77="Muy Alta",'Mapa final'!$AB$77="Catastrófico"),CONCATENATE("R9C",'Mapa final'!$P$77),"")</f>
        <v/>
      </c>
      <c r="AN14" s="40"/>
      <c r="AO14" s="464"/>
      <c r="AP14" s="465"/>
      <c r="AQ14" s="465"/>
      <c r="AR14" s="465"/>
      <c r="AS14" s="465"/>
      <c r="AT14" s="466"/>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row>
    <row r="15" spans="1:91" ht="15.75" customHeight="1" thickBot="1" x14ac:dyDescent="0.3">
      <c r="A15" s="40"/>
      <c r="B15" s="359"/>
      <c r="C15" s="359"/>
      <c r="D15" s="360"/>
      <c r="E15" s="459"/>
      <c r="F15" s="460"/>
      <c r="G15" s="460"/>
      <c r="H15" s="460"/>
      <c r="I15" s="474"/>
      <c r="J15" s="15" t="str">
        <f>IF(AND('Mapa final'!$Z$78="Muy Alta",'Mapa final'!$AB$78="Leve"),CONCATENATE("R10C",'Mapa final'!$P$78),"")</f>
        <v/>
      </c>
      <c r="K15" s="16" t="str">
        <f>IF(AND('Mapa final'!$Z$79="Muy Alta",'Mapa final'!$AB$79="Leve"),CONCATENATE("R10C",'Mapa final'!$P$79),"")</f>
        <v/>
      </c>
      <c r="L15" s="16" t="str">
        <f>IF(AND('Mapa final'!$Z$80="Muy Alta",'Mapa final'!$AB$80="Leve"),CONCATENATE("R10C",'Mapa final'!$P$80),"")</f>
        <v/>
      </c>
      <c r="M15" s="16" t="str">
        <f>IF(AND('Mapa final'!$Z$81="Muy Alta",'Mapa final'!$AB$81="Leve"),CONCATENATE("R10C",'Mapa final'!$P$81),"")</f>
        <v/>
      </c>
      <c r="N15" s="16" t="str">
        <f>IF(AND('Mapa final'!$Z$82="Muy Alta",'Mapa final'!$AB$82="Leve"),CONCATENATE("R10C",'Mapa final'!$P$82),"")</f>
        <v/>
      </c>
      <c r="O15" s="17" t="str">
        <f>IF(AND('Mapa final'!$Z$83="Muy Alta",'Mapa final'!$AB$83="Leve"),CONCATENATE("R10C",'Mapa final'!$P$83),"")</f>
        <v/>
      </c>
      <c r="P15" s="9" t="str">
        <f>IF(AND('Mapa final'!$Z$78="Muy Alta",'Mapa final'!$AB$78="Menor"),CONCATENATE("R10C",'Mapa final'!$P$78),"")</f>
        <v/>
      </c>
      <c r="Q15" s="10" t="str">
        <f>IF(AND('Mapa final'!$Z$79="Muy Alta",'Mapa final'!$AB$79="Menor"),CONCATENATE("R10C",'Mapa final'!$P$79),"")</f>
        <v/>
      </c>
      <c r="R15" s="10" t="str">
        <f>IF(AND('Mapa final'!$Z$80="Muy Alta",'Mapa final'!$AB$80="Menor"),CONCATENATE("R10C",'Mapa final'!$P$80),"")</f>
        <v/>
      </c>
      <c r="S15" s="10" t="str">
        <f>IF(AND('Mapa final'!$Z$81="Muy Alta",'Mapa final'!$AB$81="Menor"),CONCATENATE("R10C",'Mapa final'!$P$81),"")</f>
        <v/>
      </c>
      <c r="T15" s="10" t="str">
        <f>IF(AND('Mapa final'!$Z$82="Muy Alta",'Mapa final'!$AB$82="Menor"),CONCATENATE("R10C",'Mapa final'!$P$82),"")</f>
        <v/>
      </c>
      <c r="U15" s="11" t="str">
        <f>IF(AND('Mapa final'!$Z$83="Muy Alta",'Mapa final'!$AB$83="Menor"),CONCATENATE("R10C",'Mapa final'!$P$83),"")</f>
        <v/>
      </c>
      <c r="V15" s="15" t="str">
        <f>IF(AND('Mapa final'!$Z$78="Muy Alta",'Mapa final'!$AB$78="Moderado"),CONCATENATE("R10C",'Mapa final'!$P$78),"")</f>
        <v/>
      </c>
      <c r="W15" s="16" t="str">
        <f>IF(AND('Mapa final'!$Z$79="Muy Alta",'Mapa final'!$AB$79="Moderado"),CONCATENATE("R10C",'Mapa final'!$P$79),"")</f>
        <v/>
      </c>
      <c r="X15" s="16" t="str">
        <f>IF(AND('Mapa final'!$Z$80="Muy Alta",'Mapa final'!$AB$80="Moderado"),CONCATENATE("R10C",'Mapa final'!$P$80),"")</f>
        <v/>
      </c>
      <c r="Y15" s="16" t="str">
        <f>IF(AND('Mapa final'!$Z$81="Muy Alta",'Mapa final'!$AB$81="Moderado"),CONCATENATE("R10C",'Mapa final'!$P$81),"")</f>
        <v/>
      </c>
      <c r="Z15" s="16" t="str">
        <f>IF(AND('Mapa final'!$Z$82="Muy Alta",'Mapa final'!$AB$82="Moderado"),CONCATENATE("R10C",'Mapa final'!$P$82),"")</f>
        <v/>
      </c>
      <c r="AA15" s="17" t="str">
        <f>IF(AND('Mapa final'!$Z$83="Muy Alta",'Mapa final'!$AB$83="Moderado"),CONCATENATE("R10C",'Mapa final'!$P$83),"")</f>
        <v/>
      </c>
      <c r="AB15" s="9" t="str">
        <f>IF(AND('Mapa final'!$Z$78="Muy Alta",'Mapa final'!$AB$78="Mayor"),CONCATENATE("R10C",'Mapa final'!$P$78),"")</f>
        <v/>
      </c>
      <c r="AC15" s="10" t="str">
        <f>IF(AND('Mapa final'!$Z$79="Muy Alta",'Mapa final'!$AB$79="Mayor"),CONCATENATE("R10C",'Mapa final'!$P$79),"")</f>
        <v/>
      </c>
      <c r="AD15" s="10" t="str">
        <f>IF(AND('Mapa final'!$Z$80="Muy Alta",'Mapa final'!$AB$80="Mayor"),CONCATENATE("R10C",'Mapa final'!$P$80),"")</f>
        <v/>
      </c>
      <c r="AE15" s="10" t="str">
        <f>IF(AND('Mapa final'!$Z$81="Muy Alta",'Mapa final'!$AB$81="Mayor"),CONCATENATE("R10C",'Mapa final'!$P$81),"")</f>
        <v/>
      </c>
      <c r="AF15" s="10" t="str">
        <f>IF(AND('Mapa final'!$Z$82="Muy Alta",'Mapa final'!$AB$82="Mayor"),CONCATENATE("R10C",'Mapa final'!$P$82),"")</f>
        <v/>
      </c>
      <c r="AG15" s="11" t="str">
        <f>IF(AND('Mapa final'!$Z$83="Muy Alta",'Mapa final'!$AB$83="Mayor"),CONCATENATE("R10C",'Mapa final'!$P$83),"")</f>
        <v/>
      </c>
      <c r="AH15" s="18" t="str">
        <f>IF(AND('Mapa final'!$Z$78="Muy Alta",'Mapa final'!$AB$78="Catastrófico"),CONCATENATE("R10C",'Mapa final'!$P$78),"")</f>
        <v/>
      </c>
      <c r="AI15" s="19" t="str">
        <f>IF(AND('Mapa final'!$Z$79="Muy Alta",'Mapa final'!$AB$79="Catastrófico"),CONCATENATE("R10C",'Mapa final'!$P$79),"")</f>
        <v/>
      </c>
      <c r="AJ15" s="19" t="str">
        <f>IF(AND('Mapa final'!$Z$80="Muy Alta",'Mapa final'!$AB$80="Catastrófico"),CONCATENATE("R10C",'Mapa final'!$P$80),"")</f>
        <v/>
      </c>
      <c r="AK15" s="19" t="str">
        <f>IF(AND('Mapa final'!$Z$81="Muy Alta",'Mapa final'!$AB$81="Catastrófico"),CONCATENATE("R10C",'Mapa final'!$P$81),"")</f>
        <v/>
      </c>
      <c r="AL15" s="19" t="str">
        <f>IF(AND('Mapa final'!$Z$82="Muy Alta",'Mapa final'!$AB$82="Catastrófico"),CONCATENATE("R10C",'Mapa final'!$P$82),"")</f>
        <v/>
      </c>
      <c r="AM15" s="20" t="str">
        <f>IF(AND('Mapa final'!$Z$83="Muy Alta",'Mapa final'!$AB$83="Catastrófico"),CONCATENATE("R10C",'Mapa final'!$P$83),"")</f>
        <v/>
      </c>
      <c r="AN15" s="40"/>
      <c r="AO15" s="467"/>
      <c r="AP15" s="468"/>
      <c r="AQ15" s="468"/>
      <c r="AR15" s="468"/>
      <c r="AS15" s="468"/>
      <c r="AT15" s="469"/>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row>
    <row r="16" spans="1:91" ht="15" customHeight="1" x14ac:dyDescent="0.25">
      <c r="A16" s="40"/>
      <c r="B16" s="359"/>
      <c r="C16" s="359"/>
      <c r="D16" s="360"/>
      <c r="E16" s="454" t="s">
        <v>640</v>
      </c>
      <c r="F16" s="455"/>
      <c r="G16" s="455"/>
      <c r="H16" s="455"/>
      <c r="I16" s="455"/>
      <c r="J16" s="21" t="str">
        <f>IF(AND('Mapa final'!$Z$20="Alta",'Mapa final'!$AB$20="Leve"),CONCATENATE("R1C",'Mapa final'!$P$20),"")</f>
        <v/>
      </c>
      <c r="K16" s="22" t="str">
        <f>IF(AND('Mapa final'!$Z$21="Alta",'Mapa final'!$AB$21="Leve"),CONCATENATE("R1C",'Mapa final'!$P$21),"")</f>
        <v/>
      </c>
      <c r="L16" s="22" t="str">
        <f>IF(AND('Mapa final'!$Z$22="Alta",'Mapa final'!$AB$22="Leve"),CONCATENATE("R1C",'Mapa final'!$P$22),"")</f>
        <v/>
      </c>
      <c r="M16" s="22" t="str">
        <f>IF(AND('Mapa final'!$Z$23="Alta",'Mapa final'!$AB$23="Leve"),CONCATENATE("R1C",'Mapa final'!$P$23),"")</f>
        <v/>
      </c>
      <c r="N16" s="22" t="str">
        <f>IF(AND('Mapa final'!$Z$24="Alta",'Mapa final'!$AB$24="Leve"),CONCATENATE("R1C",'Mapa final'!$P$24),"")</f>
        <v/>
      </c>
      <c r="O16" s="23" t="str">
        <f>IF(AND('Mapa final'!$Z$25="Alta",'Mapa final'!$AB$25="Leve"),CONCATENATE("R1C",'Mapa final'!$P$25),"")</f>
        <v/>
      </c>
      <c r="P16" s="21" t="str">
        <f>IF(AND('Mapa final'!$Z$20="Alta",'Mapa final'!$AB$20="Menor"),CONCATENATE("R1C",'Mapa final'!$P$20),"")</f>
        <v/>
      </c>
      <c r="Q16" s="22" t="str">
        <f>IF(AND('Mapa final'!$Z$21="Alta",'Mapa final'!$AB$21="Menor"),CONCATENATE("R1C",'Mapa final'!$P$21),"")</f>
        <v/>
      </c>
      <c r="R16" s="22" t="str">
        <f>IF(AND('Mapa final'!$Z$22="Alta",'Mapa final'!$AB$22="Menor"),CONCATENATE("R1C",'Mapa final'!$P$22),"")</f>
        <v/>
      </c>
      <c r="S16" s="22" t="str">
        <f>IF(AND('Mapa final'!$Z$23="Alta",'Mapa final'!$AB$23="Menor"),CONCATENATE("R1C",'Mapa final'!$P$23),"")</f>
        <v/>
      </c>
      <c r="T16" s="22" t="str">
        <f>IF(AND('Mapa final'!$Z$24="Alta",'Mapa final'!$AB$24="Menor"),CONCATENATE("R1C",'Mapa final'!$P$24),"")</f>
        <v/>
      </c>
      <c r="U16" s="23" t="str">
        <f>IF(AND('Mapa final'!$Z$25="Alta",'Mapa final'!$AB$25="Menor"),CONCATENATE("R1C",'Mapa final'!$P$25),"")</f>
        <v/>
      </c>
      <c r="V16" s="3" t="str">
        <f>IF(AND('Mapa final'!$Z$20="Alta",'Mapa final'!$AB$20="Moderado"),CONCATENATE("R1C",'Mapa final'!$P$20),"")</f>
        <v/>
      </c>
      <c r="W16" s="4" t="str">
        <f>IF(AND('Mapa final'!$Z$21="Alta",'Mapa final'!$AB$21="Moderado"),CONCATENATE("R1C",'Mapa final'!$P$21),"")</f>
        <v/>
      </c>
      <c r="X16" s="4" t="str">
        <f>IF(AND('Mapa final'!$Z$22="Alta",'Mapa final'!$AB$22="Moderado"),CONCATENATE("R1C",'Mapa final'!$P$22),"")</f>
        <v/>
      </c>
      <c r="Y16" s="4" t="str">
        <f>IF(AND('Mapa final'!$Z$23="Alta",'Mapa final'!$AB$23="Moderado"),CONCATENATE("R1C",'Mapa final'!$P$23),"")</f>
        <v/>
      </c>
      <c r="Z16" s="4" t="str">
        <f>IF(AND('Mapa final'!$Z$24="Alta",'Mapa final'!$AB$24="Moderado"),CONCATENATE("R1C",'Mapa final'!$P$24),"")</f>
        <v/>
      </c>
      <c r="AA16" s="5" t="str">
        <f>IF(AND('Mapa final'!$Z$25="Alta",'Mapa final'!$AB$25="Moderado"),CONCATENATE("R1C",'Mapa final'!$P$25),"")</f>
        <v/>
      </c>
      <c r="AB16" s="3" t="str">
        <f>IF(AND('Mapa final'!$Z$20="Alta",'Mapa final'!$AB$20="Mayor"),CONCATENATE("R1C",'Mapa final'!$P$20),"")</f>
        <v/>
      </c>
      <c r="AC16" s="4" t="str">
        <f>IF(AND('Mapa final'!$Z$21="Alta",'Mapa final'!$AB$21="Mayor"),CONCATENATE("R1C",'Mapa final'!$P$21),"")</f>
        <v/>
      </c>
      <c r="AD16" s="4" t="str">
        <f>IF(AND('Mapa final'!$Z$22="Alta",'Mapa final'!$AB$22="Mayor"),CONCATENATE("R1C",'Mapa final'!$P$22),"")</f>
        <v/>
      </c>
      <c r="AE16" s="4" t="str">
        <f>IF(AND('Mapa final'!$Z$23="Alta",'Mapa final'!$AB$23="Mayor"),CONCATENATE("R1C",'Mapa final'!$P$23),"")</f>
        <v/>
      </c>
      <c r="AF16" s="4" t="str">
        <f>IF(AND('Mapa final'!$Z$24="Alta",'Mapa final'!$AB$24="Mayor"),CONCATENATE("R1C",'Mapa final'!$P$24),"")</f>
        <v/>
      </c>
      <c r="AG16" s="5" t="str">
        <f>IF(AND('Mapa final'!$Z$25="Alta",'Mapa final'!$AB$25="Mayor"),CONCATENATE("R1C",'Mapa final'!$P$25),"")</f>
        <v/>
      </c>
      <c r="AH16" s="6" t="str">
        <f>IF(AND('Mapa final'!$Z$20="Alta",'Mapa final'!$AB$20="Catastrófico"),CONCATENATE("R1C",'Mapa final'!$P$20),"")</f>
        <v/>
      </c>
      <c r="AI16" s="7" t="str">
        <f>IF(AND('Mapa final'!$Z$21="Alta",'Mapa final'!$AB$21="Catastrófico"),CONCATENATE("R1C",'Mapa final'!$P$21),"")</f>
        <v/>
      </c>
      <c r="AJ16" s="7" t="str">
        <f>IF(AND('Mapa final'!$Z$22="Alta",'Mapa final'!$AB$22="Catastrófico"),CONCATENATE("R1C",'Mapa final'!$P$22),"")</f>
        <v/>
      </c>
      <c r="AK16" s="7" t="str">
        <f>IF(AND('Mapa final'!$Z$23="Alta",'Mapa final'!$AB$23="Catastrófico"),CONCATENATE("R1C",'Mapa final'!$P$23),"")</f>
        <v/>
      </c>
      <c r="AL16" s="7" t="str">
        <f>IF(AND('Mapa final'!$Z$24="Alta",'Mapa final'!$AB$24="Catastrófico"),CONCATENATE("R1C",'Mapa final'!$P$24),"")</f>
        <v/>
      </c>
      <c r="AM16" s="8" t="str">
        <f>IF(AND('Mapa final'!$Z$25="Alta",'Mapa final'!$AB$25="Catastrófico"),CONCATENATE("R1C",'Mapa final'!$P$25),"")</f>
        <v/>
      </c>
      <c r="AN16" s="40"/>
      <c r="AO16" s="445" t="s">
        <v>641</v>
      </c>
      <c r="AP16" s="446"/>
      <c r="AQ16" s="446"/>
      <c r="AR16" s="446"/>
      <c r="AS16" s="446"/>
      <c r="AT16" s="447"/>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row>
    <row r="17" spans="1:76" ht="15" customHeight="1" x14ac:dyDescent="0.25">
      <c r="A17" s="40"/>
      <c r="B17" s="359"/>
      <c r="C17" s="359"/>
      <c r="D17" s="360"/>
      <c r="E17" s="456"/>
      <c r="F17" s="457"/>
      <c r="G17" s="457"/>
      <c r="H17" s="457"/>
      <c r="I17" s="457"/>
      <c r="J17" s="24" t="str">
        <f>IF(AND('Mapa final'!$Z$32="Alta",'Mapa final'!$AB$32="Leve"),CONCATENATE("R2C",'Mapa final'!$P$32),"")</f>
        <v/>
      </c>
      <c r="K17" s="25" t="str">
        <f>IF(AND('Mapa final'!$Z$33="Alta",'Mapa final'!$AB$33="Leve"),CONCATENATE("R2C",'Mapa final'!$P$33),"")</f>
        <v/>
      </c>
      <c r="L17" s="25" t="str">
        <f>IF(AND('Mapa final'!$Z$34="Alta",'Mapa final'!$AB$34="Leve"),CONCATENATE("R2C",'Mapa final'!$P$34),"")</f>
        <v/>
      </c>
      <c r="M17" s="25" t="str">
        <f>IF(AND('Mapa final'!$Z$35="Alta",'Mapa final'!$AB$35="Leve"),CONCATENATE("R2C",'Mapa final'!$P$35),"")</f>
        <v/>
      </c>
      <c r="N17" s="25" t="e">
        <f>IF(AND('Mapa final'!#REF!="Alta",'Mapa final'!#REF!="Leve"),CONCATENATE("R2C",'Mapa final'!#REF!),"")</f>
        <v>#REF!</v>
      </c>
      <c r="O17" s="26" t="e">
        <f>IF(AND('Mapa final'!#REF!="Alta",'Mapa final'!#REF!="Leve"),CONCATENATE("R2C",'Mapa final'!#REF!),"")</f>
        <v>#REF!</v>
      </c>
      <c r="P17" s="24" t="str">
        <f>IF(AND('Mapa final'!$Z$32="Alta",'Mapa final'!$AB$32="Menor"),CONCATENATE("R2C",'Mapa final'!$P$32),"")</f>
        <v/>
      </c>
      <c r="Q17" s="25" t="str">
        <f>IF(AND('Mapa final'!$Z$33="Alta",'Mapa final'!$AB$33="Menor"),CONCATENATE("R2C",'Mapa final'!$P$33),"")</f>
        <v/>
      </c>
      <c r="R17" s="25" t="str">
        <f>IF(AND('Mapa final'!$Z$34="Alta",'Mapa final'!$AB$34="Menor"),CONCATENATE("R2C",'Mapa final'!$P$34),"")</f>
        <v/>
      </c>
      <c r="S17" s="25" t="str">
        <f>IF(AND('Mapa final'!$Z$35="Alta",'Mapa final'!$AB$35="Menor"),CONCATENATE("R2C",'Mapa final'!$P$35),"")</f>
        <v/>
      </c>
      <c r="T17" s="25" t="e">
        <f>IF(AND('Mapa final'!#REF!="Alta",'Mapa final'!#REF!="Menor"),CONCATENATE("R2C",'Mapa final'!#REF!),"")</f>
        <v>#REF!</v>
      </c>
      <c r="U17" s="26" t="e">
        <f>IF(AND('Mapa final'!#REF!="Alta",'Mapa final'!#REF!="Menor"),CONCATENATE("R2C",'Mapa final'!#REF!),"")</f>
        <v>#REF!</v>
      </c>
      <c r="V17" s="9" t="str">
        <f>IF(AND('Mapa final'!$Z$32="Alta",'Mapa final'!$AB$32="Moderado"),CONCATENATE("R2C",'Mapa final'!$P$32),"")</f>
        <v/>
      </c>
      <c r="W17" s="10" t="str">
        <f>IF(AND('Mapa final'!$Z$33="Alta",'Mapa final'!$AB$33="Moderado"),CONCATENATE("R2C",'Mapa final'!$P$33),"")</f>
        <v/>
      </c>
      <c r="X17" s="10" t="str">
        <f>IF(AND('Mapa final'!$Z$34="Alta",'Mapa final'!$AB$34="Moderado"),CONCATENATE("R2C",'Mapa final'!$P$34),"")</f>
        <v/>
      </c>
      <c r="Y17" s="10" t="str">
        <f>IF(AND('Mapa final'!$Z$35="Alta",'Mapa final'!$AB$35="Moderado"),CONCATENATE("R2C",'Mapa final'!$P$35),"")</f>
        <v/>
      </c>
      <c r="Z17" s="10" t="e">
        <f>IF(AND('Mapa final'!#REF!="Alta",'Mapa final'!#REF!="Moderado"),CONCATENATE("R2C",'Mapa final'!#REF!),"")</f>
        <v>#REF!</v>
      </c>
      <c r="AA17" s="11" t="e">
        <f>IF(AND('Mapa final'!#REF!="Alta",'Mapa final'!#REF!="Moderado"),CONCATENATE("R2C",'Mapa final'!#REF!),"")</f>
        <v>#REF!</v>
      </c>
      <c r="AB17" s="9" t="str">
        <f>IF(AND('Mapa final'!$Z$32="Alta",'Mapa final'!$AB$32="Mayor"),CONCATENATE("R2C",'Mapa final'!$P$32),"")</f>
        <v/>
      </c>
      <c r="AC17" s="10" t="str">
        <f>IF(AND('Mapa final'!$Z$33="Alta",'Mapa final'!$AB$33="Mayor"),CONCATENATE("R2C",'Mapa final'!$P$33),"")</f>
        <v/>
      </c>
      <c r="AD17" s="10" t="str">
        <f>IF(AND('Mapa final'!$Z$34="Alta",'Mapa final'!$AB$34="Mayor"),CONCATENATE("R2C",'Mapa final'!$P$34),"")</f>
        <v/>
      </c>
      <c r="AE17" s="10" t="str">
        <f>IF(AND('Mapa final'!$Z$35="Alta",'Mapa final'!$AB$35="Mayor"),CONCATENATE("R2C",'Mapa final'!$P$35),"")</f>
        <v/>
      </c>
      <c r="AF17" s="10" t="e">
        <f>IF(AND('Mapa final'!#REF!="Alta",'Mapa final'!#REF!="Mayor"),CONCATENATE("R2C",'Mapa final'!#REF!),"")</f>
        <v>#REF!</v>
      </c>
      <c r="AG17" s="11" t="e">
        <f>IF(AND('Mapa final'!#REF!="Alta",'Mapa final'!#REF!="Mayor"),CONCATENATE("R2C",'Mapa final'!#REF!),"")</f>
        <v>#REF!</v>
      </c>
      <c r="AH17" s="12" t="str">
        <f>IF(AND('Mapa final'!$Z$32="Alta",'Mapa final'!$AB$32="Catastrófico"),CONCATENATE("R2C",'Mapa final'!$P$32),"")</f>
        <v/>
      </c>
      <c r="AI17" s="13" t="str">
        <f>IF(AND('Mapa final'!$Z$33="Alta",'Mapa final'!$AB$33="Catastrófico"),CONCATENATE("R2C",'Mapa final'!$P$33),"")</f>
        <v/>
      </c>
      <c r="AJ17" s="13" t="str">
        <f>IF(AND('Mapa final'!$Z$34="Alta",'Mapa final'!$AB$34="Catastrófico"),CONCATENATE("R2C",'Mapa final'!$P$34),"")</f>
        <v/>
      </c>
      <c r="AK17" s="13" t="str">
        <f>IF(AND('Mapa final'!$Z$35="Alta",'Mapa final'!$AB$35="Catastrófico"),CONCATENATE("R2C",'Mapa final'!$P$35),"")</f>
        <v/>
      </c>
      <c r="AL17" s="13" t="e">
        <f>IF(AND('Mapa final'!#REF!="Alta",'Mapa final'!#REF!="Catastrófico"),CONCATENATE("R2C",'Mapa final'!#REF!),"")</f>
        <v>#REF!</v>
      </c>
      <c r="AM17" s="14" t="e">
        <f>IF(AND('Mapa final'!#REF!="Alta",'Mapa final'!#REF!="Catastrófico"),CONCATENATE("R2C",'Mapa final'!#REF!),"")</f>
        <v>#REF!</v>
      </c>
      <c r="AN17" s="40"/>
      <c r="AO17" s="448"/>
      <c r="AP17" s="449"/>
      <c r="AQ17" s="449"/>
      <c r="AR17" s="449"/>
      <c r="AS17" s="449"/>
      <c r="AT17" s="450"/>
      <c r="AU17" s="40"/>
      <c r="AV17" s="40"/>
      <c r="AW17" s="40"/>
      <c r="AX17" s="40"/>
      <c r="AY17" s="40"/>
      <c r="AZ17" s="40"/>
      <c r="BA17" s="40"/>
      <c r="BB17" s="40"/>
      <c r="BC17" s="40"/>
      <c r="BD17" s="40"/>
      <c r="BE17" s="40"/>
      <c r="BF17" s="40"/>
      <c r="BG17" s="40"/>
      <c r="BH17" s="40"/>
      <c r="BI17" s="40"/>
      <c r="BJ17" s="40"/>
      <c r="BK17" s="40"/>
      <c r="BL17" s="40"/>
      <c r="BM17" s="40"/>
      <c r="BN17" s="40"/>
      <c r="BO17" s="40"/>
      <c r="BP17" s="40"/>
      <c r="BQ17" s="40"/>
      <c r="BR17" s="40"/>
      <c r="BS17" s="40"/>
      <c r="BT17" s="40"/>
      <c r="BU17" s="40"/>
      <c r="BV17" s="40"/>
      <c r="BW17" s="40"/>
      <c r="BX17" s="40"/>
    </row>
    <row r="18" spans="1:76" ht="15" customHeight="1" x14ac:dyDescent="0.25">
      <c r="A18" s="40"/>
      <c r="B18" s="359"/>
      <c r="C18" s="359"/>
      <c r="D18" s="360"/>
      <c r="E18" s="458"/>
      <c r="F18" s="457"/>
      <c r="G18" s="457"/>
      <c r="H18" s="457"/>
      <c r="I18" s="457"/>
      <c r="J18" s="24" t="str">
        <f>IF(AND('Mapa final'!$Z$36="Alta",'Mapa final'!$AB$36="Leve"),CONCATENATE("R3C",'Mapa final'!$P$36),"")</f>
        <v/>
      </c>
      <c r="K18" s="25" t="str">
        <f>IF(AND('Mapa final'!$Z$37="Alta",'Mapa final'!$AB$37="Leve"),CONCATENATE("R3C",'Mapa final'!$P$37),"")</f>
        <v/>
      </c>
      <c r="L18" s="25" t="str">
        <f>IF(AND('Mapa final'!$Z$38="Alta",'Mapa final'!$AB$38="Leve"),CONCATENATE("R3C",'Mapa final'!$P$38),"")</f>
        <v/>
      </c>
      <c r="M18" s="25" t="str">
        <f>IF(AND('Mapa final'!$Z$39="Alta",'Mapa final'!$AB$39="Leve"),CONCATENATE("R3C",'Mapa final'!$P$39),"")</f>
        <v/>
      </c>
      <c r="N18" s="25" t="str">
        <f>IF(AND('Mapa final'!$Z$40="Alta",'Mapa final'!$AB$40="Leve"),CONCATENATE("R3C",'Mapa final'!$P$40),"")</f>
        <v/>
      </c>
      <c r="O18" s="26" t="str">
        <f>IF(AND('Mapa final'!$Z$41="Alta",'Mapa final'!$AB$41="Leve"),CONCATENATE("R3C",'Mapa final'!$P$41),"")</f>
        <v/>
      </c>
      <c r="P18" s="24" t="str">
        <f>IF(AND('Mapa final'!$Z$36="Alta",'Mapa final'!$AB$36="Menor"),CONCATENATE("R3C",'Mapa final'!$P$36),"")</f>
        <v/>
      </c>
      <c r="Q18" s="25" t="str">
        <f>IF(AND('Mapa final'!$Z$37="Alta",'Mapa final'!$AB$37="Menor"),CONCATENATE("R3C",'Mapa final'!$P$37),"")</f>
        <v/>
      </c>
      <c r="R18" s="25" t="str">
        <f>IF(AND('Mapa final'!$Z$38="Alta",'Mapa final'!$AB$38="Menor"),CONCATENATE("R3C",'Mapa final'!$P$38),"")</f>
        <v/>
      </c>
      <c r="S18" s="25" t="str">
        <f>IF(AND('Mapa final'!$Z$39="Alta",'Mapa final'!$AB$39="Menor"),CONCATENATE("R3C",'Mapa final'!$P$39),"")</f>
        <v/>
      </c>
      <c r="T18" s="25" t="str">
        <f>IF(AND('Mapa final'!$Z$40="Alta",'Mapa final'!$AB$40="Menor"),CONCATENATE("R3C",'Mapa final'!$P$40),"")</f>
        <v/>
      </c>
      <c r="U18" s="26" t="str">
        <f>IF(AND('Mapa final'!$Z$41="Alta",'Mapa final'!$AB$41="Menor"),CONCATENATE("R3C",'Mapa final'!$P$41),"")</f>
        <v/>
      </c>
      <c r="V18" s="9" t="str">
        <f>IF(AND('Mapa final'!$Z$36="Alta",'Mapa final'!$AB$36="Moderado"),CONCATENATE("R3C",'Mapa final'!$P$36),"")</f>
        <v/>
      </c>
      <c r="W18" s="10" t="str">
        <f>IF(AND('Mapa final'!$Z$37="Alta",'Mapa final'!$AB$37="Moderado"),CONCATENATE("R3C",'Mapa final'!$P$37),"")</f>
        <v/>
      </c>
      <c r="X18" s="10" t="str">
        <f>IF(AND('Mapa final'!$Z$38="Alta",'Mapa final'!$AB$38="Moderado"),CONCATENATE("R3C",'Mapa final'!$P$38),"")</f>
        <v/>
      </c>
      <c r="Y18" s="10" t="str">
        <f>IF(AND('Mapa final'!$Z$39="Alta",'Mapa final'!$AB$39="Moderado"),CONCATENATE("R3C",'Mapa final'!$P$39),"")</f>
        <v/>
      </c>
      <c r="Z18" s="10" t="str">
        <f>IF(AND('Mapa final'!$Z$40="Alta",'Mapa final'!$AB$40="Moderado"),CONCATENATE("R3C",'Mapa final'!$P$40),"")</f>
        <v/>
      </c>
      <c r="AA18" s="11" t="str">
        <f>IF(AND('Mapa final'!$Z$41="Alta",'Mapa final'!$AB$41="Moderado"),CONCATENATE("R3C",'Mapa final'!$P$41),"")</f>
        <v/>
      </c>
      <c r="AB18" s="9" t="str">
        <f>IF(AND('Mapa final'!$Z$36="Alta",'Mapa final'!$AB$36="Mayor"),CONCATENATE("R3C",'Mapa final'!$P$36),"")</f>
        <v/>
      </c>
      <c r="AC18" s="10" t="str">
        <f>IF(AND('Mapa final'!$Z$37="Alta",'Mapa final'!$AB$37="Mayor"),CONCATENATE("R3C",'Mapa final'!$P$37),"")</f>
        <v/>
      </c>
      <c r="AD18" s="10" t="str">
        <f>IF(AND('Mapa final'!$Z$38="Alta",'Mapa final'!$AB$38="Mayor"),CONCATENATE("R3C",'Mapa final'!$P$38),"")</f>
        <v/>
      </c>
      <c r="AE18" s="10" t="str">
        <f>IF(AND('Mapa final'!$Z$39="Alta",'Mapa final'!$AB$39="Mayor"),CONCATENATE("R3C",'Mapa final'!$P$39),"")</f>
        <v/>
      </c>
      <c r="AF18" s="10" t="str">
        <f>IF(AND('Mapa final'!$Z$40="Alta",'Mapa final'!$AB$40="Mayor"),CONCATENATE("R3C",'Mapa final'!$P$40),"")</f>
        <v/>
      </c>
      <c r="AG18" s="11" t="str">
        <f>IF(AND('Mapa final'!$Z$41="Alta",'Mapa final'!$AB$41="Mayor"),CONCATENATE("R3C",'Mapa final'!$P$41),"")</f>
        <v/>
      </c>
      <c r="AH18" s="12" t="str">
        <f>IF(AND('Mapa final'!$Z$36="Alta",'Mapa final'!$AB$36="Catastrófico"),CONCATENATE("R3C",'Mapa final'!$P$36),"")</f>
        <v/>
      </c>
      <c r="AI18" s="13" t="str">
        <f>IF(AND('Mapa final'!$Z$37="Alta",'Mapa final'!$AB$37="Catastrófico"),CONCATENATE("R3C",'Mapa final'!$P$37),"")</f>
        <v/>
      </c>
      <c r="AJ18" s="13" t="str">
        <f>IF(AND('Mapa final'!$Z$38="Alta",'Mapa final'!$AB$38="Catastrófico"),CONCATENATE("R3C",'Mapa final'!$P$38),"")</f>
        <v/>
      </c>
      <c r="AK18" s="13" t="str">
        <f>IF(AND('Mapa final'!$Z$39="Alta",'Mapa final'!$AB$39="Catastrófico"),CONCATENATE("R3C",'Mapa final'!$P$39),"")</f>
        <v/>
      </c>
      <c r="AL18" s="13" t="str">
        <f>IF(AND('Mapa final'!$Z$40="Alta",'Mapa final'!$AB$40="Catastrófico"),CONCATENATE("R3C",'Mapa final'!$P$40),"")</f>
        <v/>
      </c>
      <c r="AM18" s="14" t="str">
        <f>IF(AND('Mapa final'!$Z$41="Alta",'Mapa final'!$AB$41="Catastrófico"),CONCATENATE("R3C",'Mapa final'!$P$41),"")</f>
        <v/>
      </c>
      <c r="AN18" s="40"/>
      <c r="AO18" s="448"/>
      <c r="AP18" s="449"/>
      <c r="AQ18" s="449"/>
      <c r="AR18" s="449"/>
      <c r="AS18" s="449"/>
      <c r="AT18" s="450"/>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40"/>
      <c r="BX18" s="40"/>
    </row>
    <row r="19" spans="1:76" ht="15" customHeight="1" x14ac:dyDescent="0.25">
      <c r="A19" s="40"/>
      <c r="B19" s="359"/>
      <c r="C19" s="359"/>
      <c r="D19" s="360"/>
      <c r="E19" s="458"/>
      <c r="F19" s="457"/>
      <c r="G19" s="457"/>
      <c r="H19" s="457"/>
      <c r="I19" s="457"/>
      <c r="J19" s="24" t="str">
        <f>IF(AND('Mapa final'!$Z$42="Alta",'Mapa final'!$AB$42="Leve"),CONCATENATE("R4C",'Mapa final'!$P$42),"")</f>
        <v/>
      </c>
      <c r="K19" s="25" t="str">
        <f>IF(AND('Mapa final'!$Z$43="Alta",'Mapa final'!$AB$43="Leve"),CONCATENATE("R4C",'Mapa final'!$P$43),"")</f>
        <v/>
      </c>
      <c r="L19" s="25" t="str">
        <f>IF(AND('Mapa final'!$Z$44="Alta",'Mapa final'!$AB$44="Leve"),CONCATENATE("R4C",'Mapa final'!$P$44),"")</f>
        <v/>
      </c>
      <c r="M19" s="25" t="str">
        <f>IF(AND('Mapa final'!$Z$45="Alta",'Mapa final'!$AB$45="Leve"),CONCATENATE("R4C",'Mapa final'!$P$45),"")</f>
        <v/>
      </c>
      <c r="N19" s="25" t="str">
        <f>IF(AND('Mapa final'!$Z$46="Alta",'Mapa final'!$AB$46="Leve"),CONCATENATE("R4C",'Mapa final'!$P$46),"")</f>
        <v/>
      </c>
      <c r="O19" s="26" t="str">
        <f>IF(AND('Mapa final'!$Z$47="Alta",'Mapa final'!$AB$47="Leve"),CONCATENATE("R4C",'Mapa final'!$P$47),"")</f>
        <v/>
      </c>
      <c r="P19" s="24" t="str">
        <f>IF(AND('Mapa final'!$Z$42="Alta",'Mapa final'!$AB$42="Menor"),CONCATENATE("R4C",'Mapa final'!$P$42),"")</f>
        <v/>
      </c>
      <c r="Q19" s="25" t="str">
        <f>IF(AND('Mapa final'!$Z$43="Alta",'Mapa final'!$AB$43="Menor"),CONCATENATE("R4C",'Mapa final'!$P$43),"")</f>
        <v/>
      </c>
      <c r="R19" s="25" t="str">
        <f>IF(AND('Mapa final'!$Z$44="Alta",'Mapa final'!$AB$44="Menor"),CONCATENATE("R4C",'Mapa final'!$P$44),"")</f>
        <v/>
      </c>
      <c r="S19" s="25" t="str">
        <f>IF(AND('Mapa final'!$Z$45="Alta",'Mapa final'!$AB$45="Menor"),CONCATENATE("R4C",'Mapa final'!$P$45),"")</f>
        <v/>
      </c>
      <c r="T19" s="25" t="str">
        <f>IF(AND('Mapa final'!$Z$46="Alta",'Mapa final'!$AB$46="Menor"),CONCATENATE("R4C",'Mapa final'!$P$46),"")</f>
        <v/>
      </c>
      <c r="U19" s="26" t="str">
        <f>IF(AND('Mapa final'!$Z$47="Alta",'Mapa final'!$AB$47="Menor"),CONCATENATE("R4C",'Mapa final'!$P$47),"")</f>
        <v/>
      </c>
      <c r="V19" s="9" t="str">
        <f>IF(AND('Mapa final'!$Z$42="Alta",'Mapa final'!$AB$42="Moderado"),CONCATENATE("R4C",'Mapa final'!$P$42),"")</f>
        <v/>
      </c>
      <c r="W19" s="10" t="str">
        <f>IF(AND('Mapa final'!$Z$43="Alta",'Mapa final'!$AB$43="Moderado"),CONCATENATE("R4C",'Mapa final'!$P$43),"")</f>
        <v/>
      </c>
      <c r="X19" s="10" t="str">
        <f>IF(AND('Mapa final'!$Z$44="Alta",'Mapa final'!$AB$44="Moderado"),CONCATENATE("R4C",'Mapa final'!$P$44),"")</f>
        <v/>
      </c>
      <c r="Y19" s="10" t="str">
        <f>IF(AND('Mapa final'!$Z$45="Alta",'Mapa final'!$AB$45="Moderado"),CONCATENATE("R4C",'Mapa final'!$P$45),"")</f>
        <v/>
      </c>
      <c r="Z19" s="10" t="str">
        <f>IF(AND('Mapa final'!$Z$46="Alta",'Mapa final'!$AB$46="Moderado"),CONCATENATE("R4C",'Mapa final'!$P$46),"")</f>
        <v/>
      </c>
      <c r="AA19" s="11" t="str">
        <f>IF(AND('Mapa final'!$Z$47="Alta",'Mapa final'!$AB$47="Moderado"),CONCATENATE("R4C",'Mapa final'!$P$47),"")</f>
        <v/>
      </c>
      <c r="AB19" s="9" t="str">
        <f>IF(AND('Mapa final'!$Z$42="Alta",'Mapa final'!$AB$42="Mayor"),CONCATENATE("R4C",'Mapa final'!$P$42),"")</f>
        <v/>
      </c>
      <c r="AC19" s="10" t="str">
        <f>IF(AND('Mapa final'!$Z$43="Alta",'Mapa final'!$AB$43="Mayor"),CONCATENATE("R4C",'Mapa final'!$P$43),"")</f>
        <v/>
      </c>
      <c r="AD19" s="10" t="str">
        <f>IF(AND('Mapa final'!$Z$44="Alta",'Mapa final'!$AB$44="Mayor"),CONCATENATE("R4C",'Mapa final'!$P$44),"")</f>
        <v/>
      </c>
      <c r="AE19" s="10" t="str">
        <f>IF(AND('Mapa final'!$Z$45="Alta",'Mapa final'!$AB$45="Mayor"),CONCATENATE("R4C",'Mapa final'!$P$45),"")</f>
        <v/>
      </c>
      <c r="AF19" s="10" t="str">
        <f>IF(AND('Mapa final'!$Z$46="Alta",'Mapa final'!$AB$46="Mayor"),CONCATENATE("R4C",'Mapa final'!$P$46),"")</f>
        <v/>
      </c>
      <c r="AG19" s="11" t="str">
        <f>IF(AND('Mapa final'!$Z$47="Alta",'Mapa final'!$AB$47="Mayor"),CONCATENATE("R4C",'Mapa final'!$P$47),"")</f>
        <v/>
      </c>
      <c r="AH19" s="12" t="str">
        <f>IF(AND('Mapa final'!$Z$42="Alta",'Mapa final'!$AB$42="Catastrófico"),CONCATENATE("R4C",'Mapa final'!$P$42),"")</f>
        <v/>
      </c>
      <c r="AI19" s="13" t="str">
        <f>IF(AND('Mapa final'!$Z$43="Alta",'Mapa final'!$AB$43="Catastrófico"),CONCATENATE("R4C",'Mapa final'!$P$43),"")</f>
        <v/>
      </c>
      <c r="AJ19" s="13" t="str">
        <f>IF(AND('Mapa final'!$Z$44="Alta",'Mapa final'!$AB$44="Catastrófico"),CONCATENATE("R4C",'Mapa final'!$P$44),"")</f>
        <v/>
      </c>
      <c r="AK19" s="13" t="str">
        <f>IF(AND('Mapa final'!$Z$45="Alta",'Mapa final'!$AB$45="Catastrófico"),CONCATENATE("R4C",'Mapa final'!$P$45),"")</f>
        <v/>
      </c>
      <c r="AL19" s="13" t="str">
        <f>IF(AND('Mapa final'!$Z$46="Alta",'Mapa final'!$AB$46="Catastrófico"),CONCATENATE("R4C",'Mapa final'!$P$46),"")</f>
        <v/>
      </c>
      <c r="AM19" s="14" t="str">
        <f>IF(AND('Mapa final'!$Z$47="Alta",'Mapa final'!$AB$47="Catastrófico"),CONCATENATE("R4C",'Mapa final'!$P$47),"")</f>
        <v/>
      </c>
      <c r="AN19" s="40"/>
      <c r="AO19" s="448"/>
      <c r="AP19" s="449"/>
      <c r="AQ19" s="449"/>
      <c r="AR19" s="449"/>
      <c r="AS19" s="449"/>
      <c r="AT19" s="450"/>
      <c r="AU19" s="40"/>
      <c r="AV19" s="40"/>
      <c r="AW19" s="40"/>
      <c r="AX19" s="40"/>
      <c r="AY19" s="40"/>
      <c r="AZ19" s="40"/>
      <c r="BA19" s="40"/>
      <c r="BB19" s="40"/>
      <c r="BC19" s="40"/>
      <c r="BD19" s="40"/>
      <c r="BE19" s="40"/>
      <c r="BF19" s="40"/>
      <c r="BG19" s="40"/>
      <c r="BH19" s="40"/>
      <c r="BI19" s="40"/>
      <c r="BJ19" s="40"/>
      <c r="BK19" s="40"/>
      <c r="BL19" s="40"/>
      <c r="BM19" s="40"/>
      <c r="BN19" s="40"/>
      <c r="BO19" s="40"/>
      <c r="BP19" s="40"/>
      <c r="BQ19" s="40"/>
      <c r="BR19" s="40"/>
      <c r="BS19" s="40"/>
      <c r="BT19" s="40"/>
      <c r="BU19" s="40"/>
      <c r="BV19" s="40"/>
      <c r="BW19" s="40"/>
      <c r="BX19" s="40"/>
    </row>
    <row r="20" spans="1:76" ht="15" customHeight="1" x14ac:dyDescent="0.25">
      <c r="A20" s="40"/>
      <c r="B20" s="359"/>
      <c r="C20" s="359"/>
      <c r="D20" s="360"/>
      <c r="E20" s="458"/>
      <c r="F20" s="457"/>
      <c r="G20" s="457"/>
      <c r="H20" s="457"/>
      <c r="I20" s="457"/>
      <c r="J20" s="24" t="str">
        <f>IF(AND('Mapa final'!$Z$48="Alta",'Mapa final'!$AB$48="Leve"),CONCATENATE("R5C",'Mapa final'!$P$48),"")</f>
        <v/>
      </c>
      <c r="K20" s="25" t="str">
        <f>IF(AND('Mapa final'!$Z$49="Alta",'Mapa final'!$AB$49="Leve"),CONCATENATE("R5C",'Mapa final'!$P$49),"")</f>
        <v/>
      </c>
      <c r="L20" s="25" t="str">
        <f>IF(AND('Mapa final'!$Z$50="Alta",'Mapa final'!$AB$50="Leve"),CONCATENATE("R5C",'Mapa final'!$P$50),"")</f>
        <v/>
      </c>
      <c r="M20" s="25" t="str">
        <f>IF(AND('Mapa final'!$Z$51="Alta",'Mapa final'!$AB$51="Leve"),CONCATENATE("R5C",'Mapa final'!$P$51),"")</f>
        <v/>
      </c>
      <c r="N20" s="25" t="str">
        <f>IF(AND('Mapa final'!$Z$52="Alta",'Mapa final'!$AB$52="Leve"),CONCATENATE("R5C",'Mapa final'!$P$52),"")</f>
        <v/>
      </c>
      <c r="O20" s="26" t="str">
        <f>IF(AND('Mapa final'!$Z$53="Alta",'Mapa final'!$AB$53="Leve"),CONCATENATE("R5C",'Mapa final'!$P$53),"")</f>
        <v/>
      </c>
      <c r="P20" s="24" t="str">
        <f>IF(AND('Mapa final'!$Z$48="Alta",'Mapa final'!$AB$48="Menor"),CONCATENATE("R5C",'Mapa final'!$P$48),"")</f>
        <v/>
      </c>
      <c r="Q20" s="25" t="str">
        <f>IF(AND('Mapa final'!$Z$49="Alta",'Mapa final'!$AB$49="Menor"),CONCATENATE("R5C",'Mapa final'!$P$49),"")</f>
        <v/>
      </c>
      <c r="R20" s="25" t="str">
        <f>IF(AND('Mapa final'!$Z$50="Alta",'Mapa final'!$AB$50="Menor"),CONCATENATE("R5C",'Mapa final'!$P$50),"")</f>
        <v/>
      </c>
      <c r="S20" s="25" t="str">
        <f>IF(AND('Mapa final'!$Z$51="Alta",'Mapa final'!$AB$51="Menor"),CONCATENATE("R5C",'Mapa final'!$P$51),"")</f>
        <v/>
      </c>
      <c r="T20" s="25" t="str">
        <f>IF(AND('Mapa final'!$Z$52="Alta",'Mapa final'!$AB$52="Menor"),CONCATENATE("R5C",'Mapa final'!$P$52),"")</f>
        <v/>
      </c>
      <c r="U20" s="26" t="str">
        <f>IF(AND('Mapa final'!$Z$53="Alta",'Mapa final'!$AB$53="Menor"),CONCATENATE("R5C",'Mapa final'!$P$53),"")</f>
        <v/>
      </c>
      <c r="V20" s="9" t="str">
        <f>IF(AND('Mapa final'!$Z$48="Alta",'Mapa final'!$AB$48="Moderado"),CONCATENATE("R5C",'Mapa final'!$P$48),"")</f>
        <v/>
      </c>
      <c r="W20" s="10" t="str">
        <f>IF(AND('Mapa final'!$Z$49="Alta",'Mapa final'!$AB$49="Moderado"),CONCATENATE("R5C",'Mapa final'!$P$49),"")</f>
        <v/>
      </c>
      <c r="X20" s="10" t="str">
        <f>IF(AND('Mapa final'!$Z$50="Alta",'Mapa final'!$AB$50="Moderado"),CONCATENATE("R5C",'Mapa final'!$P$50),"")</f>
        <v/>
      </c>
      <c r="Y20" s="10" t="str">
        <f>IF(AND('Mapa final'!$Z$51="Alta",'Mapa final'!$AB$51="Moderado"),CONCATENATE("R5C",'Mapa final'!$P$51),"")</f>
        <v/>
      </c>
      <c r="Z20" s="10" t="str">
        <f>IF(AND('Mapa final'!$Z$52="Alta",'Mapa final'!$AB$52="Moderado"),CONCATENATE("R5C",'Mapa final'!$P$52),"")</f>
        <v/>
      </c>
      <c r="AA20" s="11" t="str">
        <f>IF(AND('Mapa final'!$Z$53="Alta",'Mapa final'!$AB$53="Moderado"),CONCATENATE("R5C",'Mapa final'!$P$53),"")</f>
        <v/>
      </c>
      <c r="AB20" s="9" t="str">
        <f>IF(AND('Mapa final'!$Z$48="Alta",'Mapa final'!$AB$48="Mayor"),CONCATENATE("R5C",'Mapa final'!$P$48),"")</f>
        <v/>
      </c>
      <c r="AC20" s="10" t="str">
        <f>IF(AND('Mapa final'!$Z$49="Alta",'Mapa final'!$AB$49="Mayor"),CONCATENATE("R5C",'Mapa final'!$P$49),"")</f>
        <v/>
      </c>
      <c r="AD20" s="10" t="str">
        <f>IF(AND('Mapa final'!$Z$50="Alta",'Mapa final'!$AB$50="Mayor"),CONCATENATE("R5C",'Mapa final'!$P$50),"")</f>
        <v/>
      </c>
      <c r="AE20" s="10" t="str">
        <f>IF(AND('Mapa final'!$Z$51="Alta",'Mapa final'!$AB$51="Mayor"),CONCATENATE("R5C",'Mapa final'!$P$51),"")</f>
        <v/>
      </c>
      <c r="AF20" s="10" t="str">
        <f>IF(AND('Mapa final'!$Z$52="Alta",'Mapa final'!$AB$52="Mayor"),CONCATENATE("R5C",'Mapa final'!$P$52),"")</f>
        <v/>
      </c>
      <c r="AG20" s="11" t="str">
        <f>IF(AND('Mapa final'!$Z$53="Alta",'Mapa final'!$AB$53="Mayor"),CONCATENATE("R5C",'Mapa final'!$P$53),"")</f>
        <v/>
      </c>
      <c r="AH20" s="12" t="str">
        <f>IF(AND('Mapa final'!$Z$48="Alta",'Mapa final'!$AB$48="Catastrófico"),CONCATENATE("R5C",'Mapa final'!$P$48),"")</f>
        <v/>
      </c>
      <c r="AI20" s="13" t="str">
        <f>IF(AND('Mapa final'!$Z$49="Alta",'Mapa final'!$AB$49="Catastrófico"),CONCATENATE("R5C",'Mapa final'!$P$49),"")</f>
        <v/>
      </c>
      <c r="AJ20" s="13" t="str">
        <f>IF(AND('Mapa final'!$Z$50="Alta",'Mapa final'!$AB$50="Catastrófico"),CONCATENATE("R5C",'Mapa final'!$P$50),"")</f>
        <v/>
      </c>
      <c r="AK20" s="13" t="str">
        <f>IF(AND('Mapa final'!$Z$51="Alta",'Mapa final'!$AB$51="Catastrófico"),CONCATENATE("R5C",'Mapa final'!$P$51),"")</f>
        <v/>
      </c>
      <c r="AL20" s="13" t="str">
        <f>IF(AND('Mapa final'!$Z$52="Alta",'Mapa final'!$AB$52="Catastrófico"),CONCATENATE("R5C",'Mapa final'!$P$52),"")</f>
        <v/>
      </c>
      <c r="AM20" s="14" t="str">
        <f>IF(AND('Mapa final'!$Z$53="Alta",'Mapa final'!$AB$53="Catastrófico"),CONCATENATE("R5C",'Mapa final'!$P$53),"")</f>
        <v/>
      </c>
      <c r="AN20" s="40"/>
      <c r="AO20" s="448"/>
      <c r="AP20" s="449"/>
      <c r="AQ20" s="449"/>
      <c r="AR20" s="449"/>
      <c r="AS20" s="449"/>
      <c r="AT20" s="450"/>
      <c r="AU20" s="40"/>
      <c r="AV20" s="40"/>
      <c r="AW20" s="40"/>
      <c r="AX20" s="40"/>
      <c r="AY20" s="40"/>
      <c r="AZ20" s="40"/>
      <c r="BA20" s="40"/>
      <c r="BB20" s="40"/>
      <c r="BC20" s="40"/>
      <c r="BD20" s="40"/>
      <c r="BE20" s="40"/>
      <c r="BF20" s="40"/>
      <c r="BG20" s="40"/>
      <c r="BH20" s="40"/>
      <c r="BI20" s="40"/>
      <c r="BJ20" s="40"/>
      <c r="BK20" s="40"/>
      <c r="BL20" s="40"/>
      <c r="BM20" s="40"/>
      <c r="BN20" s="40"/>
      <c r="BO20" s="40"/>
      <c r="BP20" s="40"/>
      <c r="BQ20" s="40"/>
      <c r="BR20" s="40"/>
      <c r="BS20" s="40"/>
      <c r="BT20" s="40"/>
      <c r="BU20" s="40"/>
      <c r="BV20" s="40"/>
      <c r="BW20" s="40"/>
      <c r="BX20" s="40"/>
    </row>
    <row r="21" spans="1:76" ht="15" customHeight="1" x14ac:dyDescent="0.25">
      <c r="A21" s="40"/>
      <c r="B21" s="359"/>
      <c r="C21" s="359"/>
      <c r="D21" s="360"/>
      <c r="E21" s="458"/>
      <c r="F21" s="457"/>
      <c r="G21" s="457"/>
      <c r="H21" s="457"/>
      <c r="I21" s="457"/>
      <c r="J21" s="24" t="str">
        <f>IF(AND('Mapa final'!$Z$54="Alta",'Mapa final'!$AB$54="Leve"),CONCATENATE("R6C",'Mapa final'!$P$54),"")</f>
        <v/>
      </c>
      <c r="K21" s="25" t="str">
        <f>IF(AND('Mapa final'!$Z$55="Alta",'Mapa final'!$AB$55="Leve"),CONCATENATE("R6C",'Mapa final'!$P$55),"")</f>
        <v/>
      </c>
      <c r="L21" s="25" t="str">
        <f>IF(AND('Mapa final'!$Z$56="Alta",'Mapa final'!$AB$56="Leve"),CONCATENATE("R6C",'Mapa final'!$P$56),"")</f>
        <v/>
      </c>
      <c r="M21" s="25" t="str">
        <f>IF(AND('Mapa final'!$Z$57="Alta",'Mapa final'!$AB$57="Leve"),CONCATENATE("R6C",'Mapa final'!$P$57),"")</f>
        <v/>
      </c>
      <c r="N21" s="25" t="str">
        <f>IF(AND('Mapa final'!$Z$58="Alta",'Mapa final'!$AB$58="Leve"),CONCATENATE("R6C",'Mapa final'!$P$58),"")</f>
        <v/>
      </c>
      <c r="O21" s="26" t="str">
        <f>IF(AND('Mapa final'!$Z$59="Alta",'Mapa final'!$AB$59="Leve"),CONCATENATE("R6C",'Mapa final'!$P$59),"")</f>
        <v/>
      </c>
      <c r="P21" s="24" t="str">
        <f>IF(AND('Mapa final'!$Z$54="Alta",'Mapa final'!$AB$54="Menor"),CONCATENATE("R6C",'Mapa final'!$P$54),"")</f>
        <v/>
      </c>
      <c r="Q21" s="25" t="str">
        <f>IF(AND('Mapa final'!$Z$55="Alta",'Mapa final'!$AB$55="Menor"),CONCATENATE("R6C",'Mapa final'!$P$55),"")</f>
        <v/>
      </c>
      <c r="R21" s="25" t="str">
        <f>IF(AND('Mapa final'!$Z$56="Alta",'Mapa final'!$AB$56="Menor"),CONCATENATE("R6C",'Mapa final'!$P$56),"")</f>
        <v/>
      </c>
      <c r="S21" s="25" t="str">
        <f>IF(AND('Mapa final'!$Z$57="Alta",'Mapa final'!$AB$57="Menor"),CONCATENATE("R6C",'Mapa final'!$P$57),"")</f>
        <v/>
      </c>
      <c r="T21" s="25" t="str">
        <f>IF(AND('Mapa final'!$Z$58="Alta",'Mapa final'!$AB$58="Menor"),CONCATENATE("R6C",'Mapa final'!$P$58),"")</f>
        <v/>
      </c>
      <c r="U21" s="26" t="str">
        <f>IF(AND('Mapa final'!$Z$59="Alta",'Mapa final'!$AB$59="Menor"),CONCATENATE("R6C",'Mapa final'!$P$59),"")</f>
        <v/>
      </c>
      <c r="V21" s="9" t="str">
        <f>IF(AND('Mapa final'!$Z$54="Alta",'Mapa final'!$AB$54="Moderado"),CONCATENATE("R6C",'Mapa final'!$P$54),"")</f>
        <v/>
      </c>
      <c r="W21" s="10" t="str">
        <f>IF(AND('Mapa final'!$Z$55="Alta",'Mapa final'!$AB$55="Moderado"),CONCATENATE("R6C",'Mapa final'!$P$55),"")</f>
        <v/>
      </c>
      <c r="X21" s="10" t="str">
        <f>IF(AND('Mapa final'!$Z$56="Alta",'Mapa final'!$AB$56="Moderado"),CONCATENATE("R6C",'Mapa final'!$P$56),"")</f>
        <v/>
      </c>
      <c r="Y21" s="10" t="str">
        <f>IF(AND('Mapa final'!$Z$57="Alta",'Mapa final'!$AB$57="Moderado"),CONCATENATE("R6C",'Mapa final'!$P$57),"")</f>
        <v/>
      </c>
      <c r="Z21" s="10" t="str">
        <f>IF(AND('Mapa final'!$Z$58="Alta",'Mapa final'!$AB$58="Moderado"),CONCATENATE("R6C",'Mapa final'!$P$58),"")</f>
        <v/>
      </c>
      <c r="AA21" s="11" t="str">
        <f>IF(AND('Mapa final'!$Z$59="Alta",'Mapa final'!$AB$59="Moderado"),CONCATENATE("R6C",'Mapa final'!$P$59),"")</f>
        <v/>
      </c>
      <c r="AB21" s="9" t="str">
        <f>IF(AND('Mapa final'!$Z$54="Alta",'Mapa final'!$AB$54="Mayor"),CONCATENATE("R6C",'Mapa final'!$P$54),"")</f>
        <v/>
      </c>
      <c r="AC21" s="10" t="str">
        <f>IF(AND('Mapa final'!$Z$55="Alta",'Mapa final'!$AB$55="Mayor"),CONCATENATE("R6C",'Mapa final'!$P$55),"")</f>
        <v/>
      </c>
      <c r="AD21" s="10" t="str">
        <f>IF(AND('Mapa final'!$Z$56="Alta",'Mapa final'!$AB$56="Mayor"),CONCATENATE("R6C",'Mapa final'!$P$56),"")</f>
        <v/>
      </c>
      <c r="AE21" s="10" t="str">
        <f>IF(AND('Mapa final'!$Z$57="Alta",'Mapa final'!$AB$57="Mayor"),CONCATENATE("R6C",'Mapa final'!$P$57),"")</f>
        <v/>
      </c>
      <c r="AF21" s="10" t="str">
        <f>IF(AND('Mapa final'!$Z$58="Alta",'Mapa final'!$AB$58="Mayor"),CONCATENATE("R6C",'Mapa final'!$P$58),"")</f>
        <v/>
      </c>
      <c r="AG21" s="11" t="str">
        <f>IF(AND('Mapa final'!$Z$59="Alta",'Mapa final'!$AB$59="Mayor"),CONCATENATE("R6C",'Mapa final'!$P$59),"")</f>
        <v/>
      </c>
      <c r="AH21" s="12" t="str">
        <f>IF(AND('Mapa final'!$Z$54="Alta",'Mapa final'!$AB$54="Catastrófico"),CONCATENATE("R6C",'Mapa final'!$P$54),"")</f>
        <v/>
      </c>
      <c r="AI21" s="13" t="str">
        <f>IF(AND('Mapa final'!$Z$55="Alta",'Mapa final'!$AB$55="Catastrófico"),CONCATENATE("R6C",'Mapa final'!$P$55),"")</f>
        <v/>
      </c>
      <c r="AJ21" s="13" t="str">
        <f>IF(AND('Mapa final'!$Z$56="Alta",'Mapa final'!$AB$56="Catastrófico"),CONCATENATE("R6C",'Mapa final'!$P$56),"")</f>
        <v/>
      </c>
      <c r="AK21" s="13" t="str">
        <f>IF(AND('Mapa final'!$Z$57="Alta",'Mapa final'!$AB$57="Catastrófico"),CONCATENATE("R6C",'Mapa final'!$P$57),"")</f>
        <v/>
      </c>
      <c r="AL21" s="13" t="str">
        <f>IF(AND('Mapa final'!$Z$58="Alta",'Mapa final'!$AB$58="Catastrófico"),CONCATENATE("R6C",'Mapa final'!$P$58),"")</f>
        <v/>
      </c>
      <c r="AM21" s="14" t="str">
        <f>IF(AND('Mapa final'!$Z$59="Alta",'Mapa final'!$AB$59="Catastrófico"),CONCATENATE("R6C",'Mapa final'!$P$59),"")</f>
        <v/>
      </c>
      <c r="AN21" s="40"/>
      <c r="AO21" s="448"/>
      <c r="AP21" s="449"/>
      <c r="AQ21" s="449"/>
      <c r="AR21" s="449"/>
      <c r="AS21" s="449"/>
      <c r="AT21" s="450"/>
      <c r="AU21" s="40"/>
      <c r="AV21" s="40"/>
      <c r="AW21" s="40"/>
      <c r="AX21" s="40"/>
      <c r="AY21" s="40"/>
      <c r="AZ21" s="40"/>
      <c r="BA21" s="40"/>
      <c r="BB21" s="40"/>
      <c r="BC21" s="40"/>
      <c r="BD21" s="40"/>
      <c r="BE21" s="40"/>
      <c r="BF21" s="40"/>
      <c r="BG21" s="40"/>
      <c r="BH21" s="40"/>
      <c r="BI21" s="40"/>
      <c r="BJ21" s="40"/>
      <c r="BK21" s="40"/>
      <c r="BL21" s="40"/>
      <c r="BM21" s="40"/>
      <c r="BN21" s="40"/>
      <c r="BO21" s="40"/>
      <c r="BP21" s="40"/>
      <c r="BQ21" s="40"/>
      <c r="BR21" s="40"/>
      <c r="BS21" s="40"/>
      <c r="BT21" s="40"/>
      <c r="BU21" s="40"/>
      <c r="BV21" s="40"/>
      <c r="BW21" s="40"/>
      <c r="BX21" s="40"/>
    </row>
    <row r="22" spans="1:76" ht="15" customHeight="1" x14ac:dyDescent="0.25">
      <c r="A22" s="40"/>
      <c r="B22" s="359"/>
      <c r="C22" s="359"/>
      <c r="D22" s="360"/>
      <c r="E22" s="458"/>
      <c r="F22" s="457"/>
      <c r="G22" s="457"/>
      <c r="H22" s="457"/>
      <c r="I22" s="457"/>
      <c r="J22" s="24" t="str">
        <f>IF(AND('Mapa final'!$Z$60="Alta",'Mapa final'!$AB$60="Leve"),CONCATENATE("R7C",'Mapa final'!$P$60),"")</f>
        <v/>
      </c>
      <c r="K22" s="25" t="str">
        <f>IF(AND('Mapa final'!$Z$61="Alta",'Mapa final'!$AB$61="Leve"),CONCATENATE("R7C",'Mapa final'!$P$61),"")</f>
        <v/>
      </c>
      <c r="L22" s="25" t="str">
        <f>IF(AND('Mapa final'!$Z$62="Alta",'Mapa final'!$AB$62="Leve"),CONCATENATE("R7C",'Mapa final'!$P$62),"")</f>
        <v/>
      </c>
      <c r="M22" s="25" t="str">
        <f>IF(AND('Mapa final'!$Z$63="Alta",'Mapa final'!$AB$63="Leve"),CONCATENATE("R7C",'Mapa final'!$P$63),"")</f>
        <v/>
      </c>
      <c r="N22" s="25" t="str">
        <f>IF(AND('Mapa final'!$Z$64="Alta",'Mapa final'!$AB$64="Leve"),CONCATENATE("R7C",'Mapa final'!$P$64),"")</f>
        <v/>
      </c>
      <c r="O22" s="26" t="str">
        <f>IF(AND('Mapa final'!$Z$65="Alta",'Mapa final'!$AB$65="Leve"),CONCATENATE("R7C",'Mapa final'!$P$65),"")</f>
        <v/>
      </c>
      <c r="P22" s="24" t="str">
        <f>IF(AND('Mapa final'!$Z$60="Alta",'Mapa final'!$AB$60="Menor"),CONCATENATE("R7C",'Mapa final'!$P$60),"")</f>
        <v/>
      </c>
      <c r="Q22" s="25" t="str">
        <f>IF(AND('Mapa final'!$Z$61="Alta",'Mapa final'!$AB$61="Menor"),CONCATENATE("R7C",'Mapa final'!$P$61),"")</f>
        <v/>
      </c>
      <c r="R22" s="25" t="str">
        <f>IF(AND('Mapa final'!$Z$62="Alta",'Mapa final'!$AB$62="Menor"),CONCATENATE("R7C",'Mapa final'!$P$62),"")</f>
        <v/>
      </c>
      <c r="S22" s="25" t="str">
        <f>IF(AND('Mapa final'!$Z$63="Alta",'Mapa final'!$AB$63="Menor"),CONCATENATE("R7C",'Mapa final'!$P$63),"")</f>
        <v/>
      </c>
      <c r="T22" s="25" t="str">
        <f>IF(AND('Mapa final'!$Z$64="Alta",'Mapa final'!$AB$64="Menor"),CONCATENATE("R7C",'Mapa final'!$P$64),"")</f>
        <v/>
      </c>
      <c r="U22" s="26" t="str">
        <f>IF(AND('Mapa final'!$Z$65="Alta",'Mapa final'!$AB$65="Menor"),CONCATENATE("R7C",'Mapa final'!$P$65),"")</f>
        <v/>
      </c>
      <c r="V22" s="9" t="str">
        <f>IF(AND('Mapa final'!$Z$60="Alta",'Mapa final'!$AB$60="Moderado"),CONCATENATE("R7C",'Mapa final'!$P$60),"")</f>
        <v/>
      </c>
      <c r="W22" s="10" t="str">
        <f>IF(AND('Mapa final'!$Z$61="Alta",'Mapa final'!$AB$61="Moderado"),CONCATENATE("R7C",'Mapa final'!$P$61),"")</f>
        <v/>
      </c>
      <c r="X22" s="10" t="str">
        <f>IF(AND('Mapa final'!$Z$62="Alta",'Mapa final'!$AB$62="Moderado"),CONCATENATE("R7C",'Mapa final'!$P$62),"")</f>
        <v/>
      </c>
      <c r="Y22" s="10" t="str">
        <f>IF(AND('Mapa final'!$Z$63="Alta",'Mapa final'!$AB$63="Moderado"),CONCATENATE("R7C",'Mapa final'!$P$63),"")</f>
        <v/>
      </c>
      <c r="Z22" s="10" t="str">
        <f>IF(AND('Mapa final'!$Z$64="Alta",'Mapa final'!$AB$64="Moderado"),CONCATENATE("R7C",'Mapa final'!$P$64),"")</f>
        <v/>
      </c>
      <c r="AA22" s="11" t="str">
        <f>IF(AND('Mapa final'!$Z$65="Alta",'Mapa final'!$AB$65="Moderado"),CONCATENATE("R7C",'Mapa final'!$P$65),"")</f>
        <v/>
      </c>
      <c r="AB22" s="9" t="str">
        <f>IF(AND('Mapa final'!$Z$60="Alta",'Mapa final'!$AB$60="Mayor"),CONCATENATE("R7C",'Mapa final'!$P$60),"")</f>
        <v/>
      </c>
      <c r="AC22" s="10" t="str">
        <f>IF(AND('Mapa final'!$Z$61="Alta",'Mapa final'!$AB$61="Mayor"),CONCATENATE("R7C",'Mapa final'!$P$61),"")</f>
        <v/>
      </c>
      <c r="AD22" s="10" t="str">
        <f>IF(AND('Mapa final'!$Z$62="Alta",'Mapa final'!$AB$62="Mayor"),CONCATENATE("R7C",'Mapa final'!$P$62),"")</f>
        <v/>
      </c>
      <c r="AE22" s="10" t="str">
        <f>IF(AND('Mapa final'!$Z$63="Alta",'Mapa final'!$AB$63="Mayor"),CONCATENATE("R7C",'Mapa final'!$P$63),"")</f>
        <v/>
      </c>
      <c r="AF22" s="10" t="str">
        <f>IF(AND('Mapa final'!$Z$64="Alta",'Mapa final'!$AB$64="Mayor"),CONCATENATE("R7C",'Mapa final'!$P$64),"")</f>
        <v/>
      </c>
      <c r="AG22" s="11" t="str">
        <f>IF(AND('Mapa final'!$Z$65="Alta",'Mapa final'!$AB$65="Mayor"),CONCATENATE("R7C",'Mapa final'!$P$65),"")</f>
        <v/>
      </c>
      <c r="AH22" s="12" t="str">
        <f>IF(AND('Mapa final'!$Z$60="Alta",'Mapa final'!$AB$60="Catastrófico"),CONCATENATE("R7C",'Mapa final'!$P$60),"")</f>
        <v/>
      </c>
      <c r="AI22" s="13" t="str">
        <f>IF(AND('Mapa final'!$Z$61="Alta",'Mapa final'!$AB$61="Catastrófico"),CONCATENATE("R7C",'Mapa final'!$P$61),"")</f>
        <v/>
      </c>
      <c r="AJ22" s="13" t="str">
        <f>IF(AND('Mapa final'!$Z$62="Alta",'Mapa final'!$AB$62="Catastrófico"),CONCATENATE("R7C",'Mapa final'!$P$62),"")</f>
        <v/>
      </c>
      <c r="AK22" s="13" t="str">
        <f>IF(AND('Mapa final'!$Z$63="Alta",'Mapa final'!$AB$63="Catastrófico"),CONCATENATE("R7C",'Mapa final'!$P$63),"")</f>
        <v/>
      </c>
      <c r="AL22" s="13" t="str">
        <f>IF(AND('Mapa final'!$Z$64="Alta",'Mapa final'!$AB$64="Catastrófico"),CONCATENATE("R7C",'Mapa final'!$P$64),"")</f>
        <v/>
      </c>
      <c r="AM22" s="14" t="str">
        <f>IF(AND('Mapa final'!$Z$65="Alta",'Mapa final'!$AB$65="Catastrófico"),CONCATENATE("R7C",'Mapa final'!$P$65),"")</f>
        <v/>
      </c>
      <c r="AN22" s="40"/>
      <c r="AO22" s="448"/>
      <c r="AP22" s="449"/>
      <c r="AQ22" s="449"/>
      <c r="AR22" s="449"/>
      <c r="AS22" s="449"/>
      <c r="AT22" s="450"/>
      <c r="AU22" s="40"/>
      <c r="AV22" s="40"/>
      <c r="AW22" s="40"/>
      <c r="AX22" s="40"/>
      <c r="AY22" s="40"/>
      <c r="AZ22" s="40"/>
      <c r="BA22" s="40"/>
      <c r="BB22" s="40"/>
      <c r="BC22" s="40"/>
      <c r="BD22" s="40"/>
      <c r="BE22" s="40"/>
      <c r="BF22" s="40"/>
      <c r="BG22" s="40"/>
      <c r="BH22" s="40"/>
      <c r="BI22" s="40"/>
      <c r="BJ22" s="40"/>
      <c r="BK22" s="40"/>
      <c r="BL22" s="40"/>
      <c r="BM22" s="40"/>
      <c r="BN22" s="40"/>
      <c r="BO22" s="40"/>
      <c r="BP22" s="40"/>
      <c r="BQ22" s="40"/>
      <c r="BR22" s="40"/>
      <c r="BS22" s="40"/>
      <c r="BT22" s="40"/>
      <c r="BU22" s="40"/>
      <c r="BV22" s="40"/>
      <c r="BW22" s="40"/>
      <c r="BX22" s="40"/>
    </row>
    <row r="23" spans="1:76" ht="15" customHeight="1" x14ac:dyDescent="0.25">
      <c r="A23" s="40"/>
      <c r="B23" s="359"/>
      <c r="C23" s="359"/>
      <c r="D23" s="360"/>
      <c r="E23" s="458"/>
      <c r="F23" s="457"/>
      <c r="G23" s="457"/>
      <c r="H23" s="457"/>
      <c r="I23" s="457"/>
      <c r="J23" s="24" t="str">
        <f>IF(AND('Mapa final'!$Z$66="Alta",'Mapa final'!$AB$66="Leve"),CONCATENATE("R8C",'Mapa final'!$P$66),"")</f>
        <v/>
      </c>
      <c r="K23" s="25" t="str">
        <f>IF(AND('Mapa final'!$Z$67="Alta",'Mapa final'!$AB$67="Leve"),CONCATENATE("R8C",'Mapa final'!$P$67),"")</f>
        <v/>
      </c>
      <c r="L23" s="25" t="str">
        <f>IF(AND('Mapa final'!$Z$68="Alta",'Mapa final'!$AB$68="Leve"),CONCATENATE("R8C",'Mapa final'!$P$68),"")</f>
        <v/>
      </c>
      <c r="M23" s="25" t="str">
        <f>IF(AND('Mapa final'!$Z$69="Alta",'Mapa final'!$AB$69="Leve"),CONCATENATE("R8C",'Mapa final'!$P$69),"")</f>
        <v/>
      </c>
      <c r="N23" s="25" t="str">
        <f>IF(AND('Mapa final'!$Z$70="Alta",'Mapa final'!$AB$70="Leve"),CONCATENATE("R8C",'Mapa final'!$P$70),"")</f>
        <v/>
      </c>
      <c r="O23" s="26" t="str">
        <f>IF(AND('Mapa final'!$Z$71="Alta",'Mapa final'!$AB$71="Leve"),CONCATENATE("R8C",'Mapa final'!$P$71),"")</f>
        <v/>
      </c>
      <c r="P23" s="24" t="str">
        <f>IF(AND('Mapa final'!$Z$66="Alta",'Mapa final'!$AB$66="Menor"),CONCATENATE("R8C",'Mapa final'!$P$66),"")</f>
        <v/>
      </c>
      <c r="Q23" s="25" t="str">
        <f>IF(AND('Mapa final'!$Z$67="Alta",'Mapa final'!$AB$67="Menor"),CONCATENATE("R8C",'Mapa final'!$P$67),"")</f>
        <v/>
      </c>
      <c r="R23" s="25" t="str">
        <f>IF(AND('Mapa final'!$Z$68="Alta",'Mapa final'!$AB$68="Menor"),CONCATENATE("R8C",'Mapa final'!$P$68),"")</f>
        <v/>
      </c>
      <c r="S23" s="25" t="str">
        <f>IF(AND('Mapa final'!$Z$69="Alta",'Mapa final'!$AB$69="Menor"),CONCATENATE("R8C",'Mapa final'!$P$69),"")</f>
        <v/>
      </c>
      <c r="T23" s="25" t="str">
        <f>IF(AND('Mapa final'!$Z$70="Alta",'Mapa final'!$AB$70="Menor"),CONCATENATE("R8C",'Mapa final'!$P$70),"")</f>
        <v/>
      </c>
      <c r="U23" s="26" t="str">
        <f>IF(AND('Mapa final'!$Z$71="Alta",'Mapa final'!$AB$71="Menor"),CONCATENATE("R8C",'Mapa final'!$P$71),"")</f>
        <v/>
      </c>
      <c r="V23" s="9" t="str">
        <f>IF(AND('Mapa final'!$Z$66="Alta",'Mapa final'!$AB$66="Moderado"),CONCATENATE("R8C",'Mapa final'!$P$66),"")</f>
        <v/>
      </c>
      <c r="W23" s="10" t="str">
        <f>IF(AND('Mapa final'!$Z$67="Alta",'Mapa final'!$AB$67="Moderado"),CONCATENATE("R8C",'Mapa final'!$P$67),"")</f>
        <v/>
      </c>
      <c r="X23" s="10" t="str">
        <f>IF(AND('Mapa final'!$Z$68="Alta",'Mapa final'!$AB$68="Moderado"),CONCATENATE("R8C",'Mapa final'!$P$68),"")</f>
        <v/>
      </c>
      <c r="Y23" s="10" t="str">
        <f>IF(AND('Mapa final'!$Z$69="Alta",'Mapa final'!$AB$69="Moderado"),CONCATENATE("R8C",'Mapa final'!$P$69),"")</f>
        <v/>
      </c>
      <c r="Z23" s="10" t="str">
        <f>IF(AND('Mapa final'!$Z$70="Alta",'Mapa final'!$AB$70="Moderado"),CONCATENATE("R8C",'Mapa final'!$P$70),"")</f>
        <v/>
      </c>
      <c r="AA23" s="11" t="str">
        <f>IF(AND('Mapa final'!$Z$71="Alta",'Mapa final'!$AB$71="Moderado"),CONCATENATE("R8C",'Mapa final'!$P$71),"")</f>
        <v/>
      </c>
      <c r="AB23" s="9" t="str">
        <f>IF(AND('Mapa final'!$Z$66="Alta",'Mapa final'!$AB$66="Mayor"),CONCATENATE("R8C",'Mapa final'!$P$66),"")</f>
        <v/>
      </c>
      <c r="AC23" s="10" t="str">
        <f>IF(AND('Mapa final'!$Z$67="Alta",'Mapa final'!$AB$67="Mayor"),CONCATENATE("R8C",'Mapa final'!$P$67),"")</f>
        <v/>
      </c>
      <c r="AD23" s="10" t="str">
        <f>IF(AND('Mapa final'!$Z$68="Alta",'Mapa final'!$AB$68="Mayor"),CONCATENATE("R8C",'Mapa final'!$P$68),"")</f>
        <v/>
      </c>
      <c r="AE23" s="10" t="str">
        <f>IF(AND('Mapa final'!$Z$69="Alta",'Mapa final'!$AB$69="Mayor"),CONCATENATE("R8C",'Mapa final'!$P$69),"")</f>
        <v/>
      </c>
      <c r="AF23" s="10" t="str">
        <f>IF(AND('Mapa final'!$Z$70="Alta",'Mapa final'!$AB$70="Mayor"),CONCATENATE("R8C",'Mapa final'!$P$70),"")</f>
        <v/>
      </c>
      <c r="AG23" s="11" t="str">
        <f>IF(AND('Mapa final'!$Z$71="Alta",'Mapa final'!$AB$71="Mayor"),CONCATENATE("R8C",'Mapa final'!$P$71),"")</f>
        <v/>
      </c>
      <c r="AH23" s="12" t="str">
        <f>IF(AND('Mapa final'!$Z$66="Alta",'Mapa final'!$AB$66="Catastrófico"),CONCATENATE("R8C",'Mapa final'!$P$66),"")</f>
        <v/>
      </c>
      <c r="AI23" s="13" t="str">
        <f>IF(AND('Mapa final'!$Z$67="Alta",'Mapa final'!$AB$67="Catastrófico"),CONCATENATE("R8C",'Mapa final'!$P$67),"")</f>
        <v/>
      </c>
      <c r="AJ23" s="13" t="str">
        <f>IF(AND('Mapa final'!$Z$68="Alta",'Mapa final'!$AB$68="Catastrófico"),CONCATENATE("R8C",'Mapa final'!$P$68),"")</f>
        <v/>
      </c>
      <c r="AK23" s="13" t="str">
        <f>IF(AND('Mapa final'!$Z$69="Alta",'Mapa final'!$AB$69="Catastrófico"),CONCATENATE("R8C",'Mapa final'!$P$69),"")</f>
        <v/>
      </c>
      <c r="AL23" s="13" t="str">
        <f>IF(AND('Mapa final'!$Z$70="Alta",'Mapa final'!$AB$70="Catastrófico"),CONCATENATE("R8C",'Mapa final'!$P$70),"")</f>
        <v/>
      </c>
      <c r="AM23" s="14" t="str">
        <f>IF(AND('Mapa final'!$Z$71="Alta",'Mapa final'!$AB$71="Catastrófico"),CONCATENATE("R8C",'Mapa final'!$P$71),"")</f>
        <v/>
      </c>
      <c r="AN23" s="40"/>
      <c r="AO23" s="448"/>
      <c r="AP23" s="449"/>
      <c r="AQ23" s="449"/>
      <c r="AR23" s="449"/>
      <c r="AS23" s="449"/>
      <c r="AT23" s="450"/>
      <c r="AU23" s="40"/>
      <c r="AV23" s="40"/>
      <c r="AW23" s="40"/>
      <c r="AX23" s="40"/>
      <c r="AY23" s="40"/>
      <c r="AZ23" s="40"/>
      <c r="BA23" s="40"/>
      <c r="BB23" s="40"/>
      <c r="BC23" s="40"/>
      <c r="BD23" s="40"/>
      <c r="BE23" s="40"/>
      <c r="BF23" s="40"/>
      <c r="BG23" s="40"/>
      <c r="BH23" s="40"/>
      <c r="BI23" s="40"/>
      <c r="BJ23" s="40"/>
      <c r="BK23" s="40"/>
      <c r="BL23" s="40"/>
      <c r="BM23" s="40"/>
      <c r="BN23" s="40"/>
      <c r="BO23" s="40"/>
      <c r="BP23" s="40"/>
      <c r="BQ23" s="40"/>
      <c r="BR23" s="40"/>
      <c r="BS23" s="40"/>
      <c r="BT23" s="40"/>
      <c r="BU23" s="40"/>
      <c r="BV23" s="40"/>
      <c r="BW23" s="40"/>
      <c r="BX23" s="40"/>
    </row>
    <row r="24" spans="1:76" ht="15" customHeight="1" x14ac:dyDescent="0.25">
      <c r="A24" s="40"/>
      <c r="B24" s="359"/>
      <c r="C24" s="359"/>
      <c r="D24" s="360"/>
      <c r="E24" s="458"/>
      <c r="F24" s="457"/>
      <c r="G24" s="457"/>
      <c r="H24" s="457"/>
      <c r="I24" s="457"/>
      <c r="J24" s="24" t="str">
        <f>IF(AND('Mapa final'!$Z$72="Alta",'Mapa final'!$AB$72="Leve"),CONCATENATE("R9C",'Mapa final'!$P$72),"")</f>
        <v/>
      </c>
      <c r="K24" s="25" t="str">
        <f>IF(AND('Mapa final'!$Z$73="Alta",'Mapa final'!$AB$73="Leve"),CONCATENATE("R9C",'Mapa final'!$P$73),"")</f>
        <v/>
      </c>
      <c r="L24" s="25" t="str">
        <f>IF(AND('Mapa final'!$Z$74="Alta",'Mapa final'!$AB$74="Leve"),CONCATENATE("R9C",'Mapa final'!$P$74),"")</f>
        <v/>
      </c>
      <c r="M24" s="25" t="str">
        <f>IF(AND('Mapa final'!$Z$75="Alta",'Mapa final'!$AB$75="Leve"),CONCATENATE("R9C",'Mapa final'!$P$75),"")</f>
        <v/>
      </c>
      <c r="N24" s="25" t="str">
        <f>IF(AND('Mapa final'!$Z$76="Alta",'Mapa final'!$AB$76="Leve"),CONCATENATE("R9C",'Mapa final'!$P$76),"")</f>
        <v/>
      </c>
      <c r="O24" s="26" t="str">
        <f>IF(AND('Mapa final'!$Z$77="Alta",'Mapa final'!$AB$77="Leve"),CONCATENATE("R9C",'Mapa final'!$P$77),"")</f>
        <v/>
      </c>
      <c r="P24" s="24" t="str">
        <f>IF(AND('Mapa final'!$Z$72="Alta",'Mapa final'!$AB$72="Menor"),CONCATENATE("R9C",'Mapa final'!$P$72),"")</f>
        <v/>
      </c>
      <c r="Q24" s="25" t="str">
        <f>IF(AND('Mapa final'!$Z$73="Alta",'Mapa final'!$AB$73="Menor"),CONCATENATE("R9C",'Mapa final'!$P$73),"")</f>
        <v/>
      </c>
      <c r="R24" s="25" t="str">
        <f>IF(AND('Mapa final'!$Z$74="Alta",'Mapa final'!$AB$74="Menor"),CONCATENATE("R9C",'Mapa final'!$P$74),"")</f>
        <v/>
      </c>
      <c r="S24" s="25" t="str">
        <f>IF(AND('Mapa final'!$Z$75="Alta",'Mapa final'!$AB$75="Menor"),CONCATENATE("R9C",'Mapa final'!$P$75),"")</f>
        <v/>
      </c>
      <c r="T24" s="25" t="str">
        <f>IF(AND('Mapa final'!$Z$76="Alta",'Mapa final'!$AB$76="Menor"),CONCATENATE("R9C",'Mapa final'!$P$76),"")</f>
        <v/>
      </c>
      <c r="U24" s="26" t="str">
        <f>IF(AND('Mapa final'!$Z$77="Alta",'Mapa final'!$AB$77="Menor"),CONCATENATE("R9C",'Mapa final'!$P$77),"")</f>
        <v/>
      </c>
      <c r="V24" s="9" t="str">
        <f>IF(AND('Mapa final'!$Z$72="Alta",'Mapa final'!$AB$72="Moderado"),CONCATENATE("R9C",'Mapa final'!$P$72),"")</f>
        <v/>
      </c>
      <c r="W24" s="10" t="str">
        <f>IF(AND('Mapa final'!$Z$73="Alta",'Mapa final'!$AB$73="Moderado"),CONCATENATE("R9C",'Mapa final'!$P$73),"")</f>
        <v/>
      </c>
      <c r="X24" s="10" t="str">
        <f>IF(AND('Mapa final'!$Z$74="Alta",'Mapa final'!$AB$74="Moderado"),CONCATENATE("R9C",'Mapa final'!$P$74),"")</f>
        <v/>
      </c>
      <c r="Y24" s="10" t="str">
        <f>IF(AND('Mapa final'!$Z$75="Alta",'Mapa final'!$AB$75="Moderado"),CONCATENATE("R9C",'Mapa final'!$P$75),"")</f>
        <v/>
      </c>
      <c r="Z24" s="10" t="str">
        <f>IF(AND('Mapa final'!$Z$76="Alta",'Mapa final'!$AB$76="Moderado"),CONCATENATE("R9C",'Mapa final'!$P$76),"")</f>
        <v/>
      </c>
      <c r="AA24" s="11" t="str">
        <f>IF(AND('Mapa final'!$Z$77="Alta",'Mapa final'!$AB$77="Moderado"),CONCATENATE("R9C",'Mapa final'!$P$77),"")</f>
        <v/>
      </c>
      <c r="AB24" s="9" t="str">
        <f>IF(AND('Mapa final'!$Z$72="Alta",'Mapa final'!$AB$72="Mayor"),CONCATENATE("R9C",'Mapa final'!$P$72),"")</f>
        <v/>
      </c>
      <c r="AC24" s="10" t="str">
        <f>IF(AND('Mapa final'!$Z$73="Alta",'Mapa final'!$AB$73="Mayor"),CONCATENATE("R9C",'Mapa final'!$P$73),"")</f>
        <v/>
      </c>
      <c r="AD24" s="10" t="str">
        <f>IF(AND('Mapa final'!$Z$74="Alta",'Mapa final'!$AB$74="Mayor"),CONCATENATE("R9C",'Mapa final'!$P$74),"")</f>
        <v/>
      </c>
      <c r="AE24" s="10" t="str">
        <f>IF(AND('Mapa final'!$Z$75="Alta",'Mapa final'!$AB$75="Mayor"),CONCATENATE("R9C",'Mapa final'!$P$75),"")</f>
        <v/>
      </c>
      <c r="AF24" s="10" t="str">
        <f>IF(AND('Mapa final'!$Z$76="Alta",'Mapa final'!$AB$76="Mayor"),CONCATENATE("R9C",'Mapa final'!$P$76),"")</f>
        <v/>
      </c>
      <c r="AG24" s="11" t="str">
        <f>IF(AND('Mapa final'!$Z$77="Alta",'Mapa final'!$AB$77="Mayor"),CONCATENATE("R9C",'Mapa final'!$P$77),"")</f>
        <v/>
      </c>
      <c r="AH24" s="12" t="str">
        <f>IF(AND('Mapa final'!$Z$72="Alta",'Mapa final'!$AB$72="Catastrófico"),CONCATENATE("R9C",'Mapa final'!$P$72),"")</f>
        <v/>
      </c>
      <c r="AI24" s="13" t="str">
        <f>IF(AND('Mapa final'!$Z$73="Alta",'Mapa final'!$AB$73="Catastrófico"),CONCATENATE("R9C",'Mapa final'!$P$73),"")</f>
        <v/>
      </c>
      <c r="AJ24" s="13" t="str">
        <f>IF(AND('Mapa final'!$Z$74="Alta",'Mapa final'!$AB$74="Catastrófico"),CONCATENATE("R9C",'Mapa final'!$P$74),"")</f>
        <v/>
      </c>
      <c r="AK24" s="13" t="str">
        <f>IF(AND('Mapa final'!$Z$75="Alta",'Mapa final'!$AB$75="Catastrófico"),CONCATENATE("R9C",'Mapa final'!$P$75),"")</f>
        <v/>
      </c>
      <c r="AL24" s="13" t="str">
        <f>IF(AND('Mapa final'!$Z$76="Alta",'Mapa final'!$AB$76="Catastrófico"),CONCATENATE("R9C",'Mapa final'!$P$76),"")</f>
        <v/>
      </c>
      <c r="AM24" s="14" t="str">
        <f>IF(AND('Mapa final'!$Z$77="Alta",'Mapa final'!$AB$77="Catastrófico"),CONCATENATE("R9C",'Mapa final'!$P$77),"")</f>
        <v/>
      </c>
      <c r="AN24" s="40"/>
      <c r="AO24" s="448"/>
      <c r="AP24" s="449"/>
      <c r="AQ24" s="449"/>
      <c r="AR24" s="449"/>
      <c r="AS24" s="449"/>
      <c r="AT24" s="450"/>
      <c r="AU24" s="40"/>
      <c r="AV24" s="40"/>
      <c r="AW24" s="40"/>
      <c r="AX24" s="40"/>
      <c r="AY24" s="40"/>
      <c r="AZ24" s="40"/>
      <c r="BA24" s="40"/>
      <c r="BB24" s="40"/>
      <c r="BC24" s="40"/>
      <c r="BD24" s="40"/>
      <c r="BE24" s="40"/>
      <c r="BF24" s="40"/>
      <c r="BG24" s="40"/>
      <c r="BH24" s="40"/>
      <c r="BI24" s="40"/>
      <c r="BJ24" s="40"/>
      <c r="BK24" s="40"/>
      <c r="BL24" s="40"/>
      <c r="BM24" s="40"/>
      <c r="BN24" s="40"/>
      <c r="BO24" s="40"/>
      <c r="BP24" s="40"/>
      <c r="BQ24" s="40"/>
      <c r="BR24" s="40"/>
      <c r="BS24" s="40"/>
      <c r="BT24" s="40"/>
      <c r="BU24" s="40"/>
      <c r="BV24" s="40"/>
      <c r="BW24" s="40"/>
      <c r="BX24" s="40"/>
    </row>
    <row r="25" spans="1:76" ht="15.75" customHeight="1" thickBot="1" x14ac:dyDescent="0.3">
      <c r="A25" s="40"/>
      <c r="B25" s="359"/>
      <c r="C25" s="359"/>
      <c r="D25" s="360"/>
      <c r="E25" s="459"/>
      <c r="F25" s="460"/>
      <c r="G25" s="460"/>
      <c r="H25" s="460"/>
      <c r="I25" s="460"/>
      <c r="J25" s="27" t="str">
        <f>IF(AND('Mapa final'!$Z$78="Alta",'Mapa final'!$AB$78="Leve"),CONCATENATE("R10C",'Mapa final'!$P$78),"")</f>
        <v/>
      </c>
      <c r="K25" s="28" t="str">
        <f>IF(AND('Mapa final'!$Z$79="Alta",'Mapa final'!$AB$79="Leve"),CONCATENATE("R10C",'Mapa final'!$P$79),"")</f>
        <v/>
      </c>
      <c r="L25" s="28" t="str">
        <f>IF(AND('Mapa final'!$Z$80="Alta",'Mapa final'!$AB$80="Leve"),CONCATENATE("R10C",'Mapa final'!$P$80),"")</f>
        <v/>
      </c>
      <c r="M25" s="28" t="str">
        <f>IF(AND('Mapa final'!$Z$81="Alta",'Mapa final'!$AB$81="Leve"),CONCATENATE("R10C",'Mapa final'!$P$81),"")</f>
        <v/>
      </c>
      <c r="N25" s="28" t="str">
        <f>IF(AND('Mapa final'!$Z$82="Alta",'Mapa final'!$AB$82="Leve"),CONCATENATE("R10C",'Mapa final'!$P$82),"")</f>
        <v/>
      </c>
      <c r="O25" s="29" t="str">
        <f>IF(AND('Mapa final'!$Z$83="Alta",'Mapa final'!$AB$83="Leve"),CONCATENATE("R10C",'Mapa final'!$P$83),"")</f>
        <v/>
      </c>
      <c r="P25" s="27" t="str">
        <f>IF(AND('Mapa final'!$Z$78="Alta",'Mapa final'!$AB$78="Menor"),CONCATENATE("R10C",'Mapa final'!$P$78),"")</f>
        <v/>
      </c>
      <c r="Q25" s="28" t="str">
        <f>IF(AND('Mapa final'!$Z$79="Alta",'Mapa final'!$AB$79="Menor"),CONCATENATE("R10C",'Mapa final'!$P$79),"")</f>
        <v/>
      </c>
      <c r="R25" s="28" t="str">
        <f>IF(AND('Mapa final'!$Z$80="Alta",'Mapa final'!$AB$80="Menor"),CONCATENATE("R10C",'Mapa final'!$P$80),"")</f>
        <v/>
      </c>
      <c r="S25" s="28" t="str">
        <f>IF(AND('Mapa final'!$Z$81="Alta",'Mapa final'!$AB$81="Menor"),CONCATENATE("R10C",'Mapa final'!$P$81),"")</f>
        <v/>
      </c>
      <c r="T25" s="28" t="str">
        <f>IF(AND('Mapa final'!$Z$82="Alta",'Mapa final'!$AB$82="Menor"),CONCATENATE("R10C",'Mapa final'!$P$82),"")</f>
        <v/>
      </c>
      <c r="U25" s="29" t="str">
        <f>IF(AND('Mapa final'!$Z$83="Alta",'Mapa final'!$AB$83="Menor"),CONCATENATE("R10C",'Mapa final'!$P$83),"")</f>
        <v/>
      </c>
      <c r="V25" s="15" t="str">
        <f>IF(AND('Mapa final'!$Z$78="Alta",'Mapa final'!$AB$78="Moderado"),CONCATENATE("R10C",'Mapa final'!$P$78),"")</f>
        <v/>
      </c>
      <c r="W25" s="16" t="str">
        <f>IF(AND('Mapa final'!$Z$79="Alta",'Mapa final'!$AB$79="Moderado"),CONCATENATE("R10C",'Mapa final'!$P$79),"")</f>
        <v/>
      </c>
      <c r="X25" s="16" t="str">
        <f>IF(AND('Mapa final'!$Z$80="Alta",'Mapa final'!$AB$80="Moderado"),CONCATENATE("R10C",'Mapa final'!$P$80),"")</f>
        <v/>
      </c>
      <c r="Y25" s="16" t="str">
        <f>IF(AND('Mapa final'!$Z$81="Alta",'Mapa final'!$AB$81="Moderado"),CONCATENATE("R10C",'Mapa final'!$P$81),"")</f>
        <v/>
      </c>
      <c r="Z25" s="16" t="str">
        <f>IF(AND('Mapa final'!$Z$82="Alta",'Mapa final'!$AB$82="Moderado"),CONCATENATE("R10C",'Mapa final'!$P$82),"")</f>
        <v/>
      </c>
      <c r="AA25" s="17" t="str">
        <f>IF(AND('Mapa final'!$Z$83="Alta",'Mapa final'!$AB$83="Moderado"),CONCATENATE("R10C",'Mapa final'!$P$83),"")</f>
        <v/>
      </c>
      <c r="AB25" s="15" t="str">
        <f>IF(AND('Mapa final'!$Z$78="Alta",'Mapa final'!$AB$78="Mayor"),CONCATENATE("R10C",'Mapa final'!$P$78),"")</f>
        <v/>
      </c>
      <c r="AC25" s="16" t="str">
        <f>IF(AND('Mapa final'!$Z$79="Alta",'Mapa final'!$AB$79="Mayor"),CONCATENATE("R10C",'Mapa final'!$P$79),"")</f>
        <v/>
      </c>
      <c r="AD25" s="16" t="str">
        <f>IF(AND('Mapa final'!$Z$80="Alta",'Mapa final'!$AB$80="Mayor"),CONCATENATE("R10C",'Mapa final'!$P$80),"")</f>
        <v/>
      </c>
      <c r="AE25" s="16" t="str">
        <f>IF(AND('Mapa final'!$Z$81="Alta",'Mapa final'!$AB$81="Mayor"),CONCATENATE("R10C",'Mapa final'!$P$81),"")</f>
        <v/>
      </c>
      <c r="AF25" s="16" t="str">
        <f>IF(AND('Mapa final'!$Z$82="Alta",'Mapa final'!$AB$82="Mayor"),CONCATENATE("R10C",'Mapa final'!$P$82),"")</f>
        <v/>
      </c>
      <c r="AG25" s="17" t="str">
        <f>IF(AND('Mapa final'!$Z$83="Alta",'Mapa final'!$AB$83="Mayor"),CONCATENATE("R10C",'Mapa final'!$P$83),"")</f>
        <v/>
      </c>
      <c r="AH25" s="18" t="str">
        <f>IF(AND('Mapa final'!$Z$78="Alta",'Mapa final'!$AB$78="Catastrófico"),CONCATENATE("R10C",'Mapa final'!$P$78),"")</f>
        <v/>
      </c>
      <c r="AI25" s="19" t="str">
        <f>IF(AND('Mapa final'!$Z$79="Alta",'Mapa final'!$AB$79="Catastrófico"),CONCATENATE("R10C",'Mapa final'!$P$79),"")</f>
        <v/>
      </c>
      <c r="AJ25" s="19" t="str">
        <f>IF(AND('Mapa final'!$Z$80="Alta",'Mapa final'!$AB$80="Catastrófico"),CONCATENATE("R10C",'Mapa final'!$P$80),"")</f>
        <v/>
      </c>
      <c r="AK25" s="19" t="str">
        <f>IF(AND('Mapa final'!$Z$81="Alta",'Mapa final'!$AB$81="Catastrófico"),CONCATENATE("R10C",'Mapa final'!$P$81),"")</f>
        <v/>
      </c>
      <c r="AL25" s="19" t="str">
        <f>IF(AND('Mapa final'!$Z$82="Alta",'Mapa final'!$AB$82="Catastrófico"),CONCATENATE("R10C",'Mapa final'!$P$82),"")</f>
        <v/>
      </c>
      <c r="AM25" s="20" t="str">
        <f>IF(AND('Mapa final'!$Z$83="Alta",'Mapa final'!$AB$83="Catastrófico"),CONCATENATE("R10C",'Mapa final'!$P$83),"")</f>
        <v/>
      </c>
      <c r="AN25" s="40"/>
      <c r="AO25" s="451"/>
      <c r="AP25" s="452"/>
      <c r="AQ25" s="452"/>
      <c r="AR25" s="452"/>
      <c r="AS25" s="452"/>
      <c r="AT25" s="453"/>
      <c r="AU25" s="40"/>
      <c r="AV25" s="40"/>
      <c r="AW25" s="40"/>
      <c r="AX25" s="40"/>
      <c r="AY25" s="40"/>
      <c r="AZ25" s="40"/>
      <c r="BA25" s="40"/>
      <c r="BB25" s="40"/>
      <c r="BC25" s="40"/>
      <c r="BD25" s="40"/>
      <c r="BE25" s="40"/>
      <c r="BF25" s="40"/>
      <c r="BG25" s="40"/>
      <c r="BH25" s="40"/>
      <c r="BI25" s="40"/>
      <c r="BJ25" s="40"/>
      <c r="BK25" s="40"/>
      <c r="BL25" s="40"/>
      <c r="BM25" s="40"/>
      <c r="BN25" s="40"/>
      <c r="BO25" s="40"/>
      <c r="BP25" s="40"/>
      <c r="BQ25" s="40"/>
      <c r="BR25" s="40"/>
      <c r="BS25" s="40"/>
      <c r="BT25" s="40"/>
      <c r="BU25" s="40"/>
      <c r="BV25" s="40"/>
      <c r="BW25" s="40"/>
      <c r="BX25" s="40"/>
    </row>
    <row r="26" spans="1:76" ht="15" customHeight="1" x14ac:dyDescent="0.25">
      <c r="A26" s="40"/>
      <c r="B26" s="359"/>
      <c r="C26" s="359"/>
      <c r="D26" s="360"/>
      <c r="E26" s="454" t="s">
        <v>642</v>
      </c>
      <c r="F26" s="455"/>
      <c r="G26" s="455"/>
      <c r="H26" s="455"/>
      <c r="I26" s="472"/>
      <c r="J26" s="21" t="str">
        <f>IF(AND('Mapa final'!$Z$20="Media",'Mapa final'!$AB$20="Leve"),CONCATENATE("R1C",'Mapa final'!$P$20),"")</f>
        <v/>
      </c>
      <c r="K26" s="22" t="str">
        <f>IF(AND('Mapa final'!$Z$21="Media",'Mapa final'!$AB$21="Leve"),CONCATENATE("R1C",'Mapa final'!$P$21),"")</f>
        <v/>
      </c>
      <c r="L26" s="22" t="str">
        <f>IF(AND('Mapa final'!$Z$22="Media",'Mapa final'!$AB$22="Leve"),CONCATENATE("R1C",'Mapa final'!$P$22),"")</f>
        <v/>
      </c>
      <c r="M26" s="22" t="str">
        <f>IF(AND('Mapa final'!$Z$23="Media",'Mapa final'!$AB$23="Leve"),CONCATENATE("R1C",'Mapa final'!$P$23),"")</f>
        <v/>
      </c>
      <c r="N26" s="22" t="str">
        <f>IF(AND('Mapa final'!$Z$24="Media",'Mapa final'!$AB$24="Leve"),CONCATENATE("R1C",'Mapa final'!$P$24),"")</f>
        <v/>
      </c>
      <c r="O26" s="23" t="str">
        <f>IF(AND('Mapa final'!$Z$25="Media",'Mapa final'!$AB$25="Leve"),CONCATENATE("R1C",'Mapa final'!$P$25),"")</f>
        <v/>
      </c>
      <c r="P26" s="21" t="str">
        <f>IF(AND('Mapa final'!$Z$20="Media",'Mapa final'!$AB$20="Menor"),CONCATENATE("R1C",'Mapa final'!$P$20),"")</f>
        <v/>
      </c>
      <c r="Q26" s="22" t="str">
        <f>IF(AND('Mapa final'!$Z$21="Media",'Mapa final'!$AB$21="Menor"),CONCATENATE("R1C",'Mapa final'!$P$21),"")</f>
        <v/>
      </c>
      <c r="R26" s="22" t="str">
        <f>IF(AND('Mapa final'!$Z$22="Media",'Mapa final'!$AB$22="Menor"),CONCATENATE("R1C",'Mapa final'!$P$22),"")</f>
        <v/>
      </c>
      <c r="S26" s="22" t="str">
        <f>IF(AND('Mapa final'!$Z$23="Media",'Mapa final'!$AB$23="Menor"),CONCATENATE("R1C",'Mapa final'!$P$23),"")</f>
        <v/>
      </c>
      <c r="T26" s="22" t="str">
        <f>IF(AND('Mapa final'!$Z$24="Media",'Mapa final'!$AB$24="Menor"),CONCATENATE("R1C",'Mapa final'!$P$24),"")</f>
        <v/>
      </c>
      <c r="U26" s="23" t="str">
        <f>IF(AND('Mapa final'!$Z$25="Media",'Mapa final'!$AB$25="Menor"),CONCATENATE("R1C",'Mapa final'!$P$25),"")</f>
        <v/>
      </c>
      <c r="V26" s="21" t="str">
        <f>IF(AND('Mapa final'!$Z$20="Media",'Mapa final'!$AB$20="Moderado"),CONCATENATE("R1C",'Mapa final'!$P$20),"")</f>
        <v/>
      </c>
      <c r="W26" s="22" t="str">
        <f>IF(AND('Mapa final'!$Z$21="Media",'Mapa final'!$AB$21="Moderado"),CONCATENATE("R1C",'Mapa final'!$P$21),"")</f>
        <v/>
      </c>
      <c r="X26" s="22" t="str">
        <f>IF(AND('Mapa final'!$Z$22="Media",'Mapa final'!$AB$22="Moderado"),CONCATENATE("R1C",'Mapa final'!$P$22),"")</f>
        <v/>
      </c>
      <c r="Y26" s="22" t="str">
        <f>IF(AND('Mapa final'!$Z$23="Media",'Mapa final'!$AB$23="Moderado"),CONCATENATE("R1C",'Mapa final'!$P$23),"")</f>
        <v/>
      </c>
      <c r="Z26" s="22" t="str">
        <f>IF(AND('Mapa final'!$Z$24="Media",'Mapa final'!$AB$24="Moderado"),CONCATENATE("R1C",'Mapa final'!$P$24),"")</f>
        <v/>
      </c>
      <c r="AA26" s="23" t="str">
        <f>IF(AND('Mapa final'!$Z$25="Media",'Mapa final'!$AB$25="Moderado"),CONCATENATE("R1C",'Mapa final'!$P$25),"")</f>
        <v/>
      </c>
      <c r="AB26" s="3" t="str">
        <f>IF(AND('Mapa final'!$Z$20="Media",'Mapa final'!$AB$20="Mayor"),CONCATENATE("R1C",'Mapa final'!$P$20),"")</f>
        <v/>
      </c>
      <c r="AC26" s="4" t="str">
        <f>IF(AND('Mapa final'!$Z$21="Media",'Mapa final'!$AB$21="Mayor"),CONCATENATE("R1C",'Mapa final'!$P$21),"")</f>
        <v/>
      </c>
      <c r="AD26" s="4" t="str">
        <f>IF(AND('Mapa final'!$Z$22="Media",'Mapa final'!$AB$22="Mayor"),CONCATENATE("R1C",'Mapa final'!$P$22),"")</f>
        <v/>
      </c>
      <c r="AE26" s="4" t="str">
        <f>IF(AND('Mapa final'!$Z$23="Media",'Mapa final'!$AB$23="Mayor"),CONCATENATE("R1C",'Mapa final'!$P$23),"")</f>
        <v/>
      </c>
      <c r="AF26" s="4" t="str">
        <f>IF(AND('Mapa final'!$Z$24="Media",'Mapa final'!$AB$24="Mayor"),CONCATENATE("R1C",'Mapa final'!$P$24),"")</f>
        <v/>
      </c>
      <c r="AG26" s="5" t="str">
        <f>IF(AND('Mapa final'!$Z$25="Media",'Mapa final'!$AB$25="Mayor"),CONCATENATE("R1C",'Mapa final'!$P$25),"")</f>
        <v/>
      </c>
      <c r="AH26" s="6" t="str">
        <f>IF(AND('Mapa final'!$Z$20="Media",'Mapa final'!$AB$20="Catastrófico"),CONCATENATE("R1C",'Mapa final'!$P$20),"")</f>
        <v/>
      </c>
      <c r="AI26" s="7" t="str">
        <f>IF(AND('Mapa final'!$Z$21="Media",'Mapa final'!$AB$21="Catastrófico"),CONCATENATE("R1C",'Mapa final'!$P$21),"")</f>
        <v/>
      </c>
      <c r="AJ26" s="7" t="str">
        <f>IF(AND('Mapa final'!$Z$22="Media",'Mapa final'!$AB$22="Catastrófico"),CONCATENATE("R1C",'Mapa final'!$P$22),"")</f>
        <v/>
      </c>
      <c r="AK26" s="7" t="str">
        <f>IF(AND('Mapa final'!$Z$23="Media",'Mapa final'!$AB$23="Catastrófico"),CONCATENATE("R1C",'Mapa final'!$P$23),"")</f>
        <v/>
      </c>
      <c r="AL26" s="7" t="str">
        <f>IF(AND('Mapa final'!$Z$24="Media",'Mapa final'!$AB$24="Catastrófico"),CONCATENATE("R1C",'Mapa final'!$P$24),"")</f>
        <v/>
      </c>
      <c r="AM26" s="8" t="str">
        <f>IF(AND('Mapa final'!$Z$25="Media",'Mapa final'!$AB$25="Catastrófico"),CONCATENATE("R1C",'Mapa final'!$P$25),"")</f>
        <v/>
      </c>
      <c r="AN26" s="40"/>
      <c r="AO26" s="484" t="s">
        <v>643</v>
      </c>
      <c r="AP26" s="485"/>
      <c r="AQ26" s="485"/>
      <c r="AR26" s="485"/>
      <c r="AS26" s="485"/>
      <c r="AT26" s="486"/>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row>
    <row r="27" spans="1:76" ht="15" customHeight="1" x14ac:dyDescent="0.25">
      <c r="A27" s="40"/>
      <c r="B27" s="359"/>
      <c r="C27" s="359"/>
      <c r="D27" s="360"/>
      <c r="E27" s="456"/>
      <c r="F27" s="457"/>
      <c r="G27" s="457"/>
      <c r="H27" s="457"/>
      <c r="I27" s="473"/>
      <c r="J27" s="24" t="str">
        <f>IF(AND('Mapa final'!$Z$32="Media",'Mapa final'!$AB$32="Leve"),CONCATENATE("R2C",'Mapa final'!$P$32),"")</f>
        <v/>
      </c>
      <c r="K27" s="25" t="str">
        <f>IF(AND('Mapa final'!$Z$33="Media",'Mapa final'!$AB$33="Leve"),CONCATENATE("R2C",'Mapa final'!$P$33),"")</f>
        <v/>
      </c>
      <c r="L27" s="25" t="str">
        <f>IF(AND('Mapa final'!$Z$34="Media",'Mapa final'!$AB$34="Leve"),CONCATENATE("R2C",'Mapa final'!$P$34),"")</f>
        <v/>
      </c>
      <c r="M27" s="25" t="str">
        <f>IF(AND('Mapa final'!$Z$35="Media",'Mapa final'!$AB$35="Leve"),CONCATENATE("R2C",'Mapa final'!$P$35),"")</f>
        <v/>
      </c>
      <c r="N27" s="25" t="e">
        <f>IF(AND('Mapa final'!#REF!="Media",'Mapa final'!#REF!="Leve"),CONCATENATE("R2C",'Mapa final'!#REF!),"")</f>
        <v>#REF!</v>
      </c>
      <c r="O27" s="26" t="e">
        <f>IF(AND('Mapa final'!#REF!="Media",'Mapa final'!#REF!="Leve"),CONCATENATE("R2C",'Mapa final'!#REF!),"")</f>
        <v>#REF!</v>
      </c>
      <c r="P27" s="24" t="str">
        <f>IF(AND('Mapa final'!$Z$32="Media",'Mapa final'!$AB$32="Menor"),CONCATENATE("R2C",'Mapa final'!$P$32),"")</f>
        <v/>
      </c>
      <c r="Q27" s="25" t="str">
        <f>IF(AND('Mapa final'!$Z$33="Media",'Mapa final'!$AB$33="Menor"),CONCATENATE("R2C",'Mapa final'!$P$33),"")</f>
        <v/>
      </c>
      <c r="R27" s="25" t="str">
        <f>IF(AND('Mapa final'!$Z$34="Media",'Mapa final'!$AB$34="Menor"),CONCATENATE("R2C",'Mapa final'!$P$34),"")</f>
        <v/>
      </c>
      <c r="S27" s="25" t="str">
        <f>IF(AND('Mapa final'!$Z$35="Media",'Mapa final'!$AB$35="Menor"),CONCATENATE("R2C",'Mapa final'!$P$35),"")</f>
        <v/>
      </c>
      <c r="T27" s="25" t="e">
        <f>IF(AND('Mapa final'!#REF!="Media",'Mapa final'!#REF!="Menor"),CONCATENATE("R2C",'Mapa final'!#REF!),"")</f>
        <v>#REF!</v>
      </c>
      <c r="U27" s="26" t="e">
        <f>IF(AND('Mapa final'!#REF!="Media",'Mapa final'!#REF!="Menor"),CONCATENATE("R2C",'Mapa final'!#REF!),"")</f>
        <v>#REF!</v>
      </c>
      <c r="V27" s="24" t="str">
        <f>IF(AND('Mapa final'!$Z$32="Media",'Mapa final'!$AB$32="Moderado"),CONCATENATE("R2C",'Mapa final'!$P$32),"")</f>
        <v/>
      </c>
      <c r="W27" s="25" t="str">
        <f>IF(AND('Mapa final'!$Z$33="Media",'Mapa final'!$AB$33="Moderado"),CONCATENATE("R2C",'Mapa final'!$P$33),"")</f>
        <v/>
      </c>
      <c r="X27" s="25" t="str">
        <f>IF(AND('Mapa final'!$Z$34="Media",'Mapa final'!$AB$34="Moderado"),CONCATENATE("R2C",'Mapa final'!$P$34),"")</f>
        <v/>
      </c>
      <c r="Y27" s="25" t="str">
        <f>IF(AND('Mapa final'!$Z$35="Media",'Mapa final'!$AB$35="Moderado"),CONCATENATE("R2C",'Mapa final'!$P$35),"")</f>
        <v/>
      </c>
      <c r="Z27" s="25" t="e">
        <f>IF(AND('Mapa final'!#REF!="Media",'Mapa final'!#REF!="Moderado"),CONCATENATE("R2C",'Mapa final'!#REF!),"")</f>
        <v>#REF!</v>
      </c>
      <c r="AA27" s="26" t="e">
        <f>IF(AND('Mapa final'!#REF!="Media",'Mapa final'!#REF!="Moderado"),CONCATENATE("R2C",'Mapa final'!#REF!),"")</f>
        <v>#REF!</v>
      </c>
      <c r="AB27" s="9" t="str">
        <f>IF(AND('Mapa final'!$Z$32="Media",'Mapa final'!$AB$32="Mayor"),CONCATENATE("R2C",'Mapa final'!$P$32),"")</f>
        <v/>
      </c>
      <c r="AC27" s="10" t="str">
        <f>IF(AND('Mapa final'!$Z$33="Media",'Mapa final'!$AB$33="Mayor"),CONCATENATE("R2C",'Mapa final'!$P$33),"")</f>
        <v/>
      </c>
      <c r="AD27" s="10" t="str">
        <f>IF(AND('Mapa final'!$Z$34="Media",'Mapa final'!$AB$34="Mayor"),CONCATENATE("R2C",'Mapa final'!$P$34),"")</f>
        <v/>
      </c>
      <c r="AE27" s="10" t="str">
        <f>IF(AND('Mapa final'!$Z$35="Media",'Mapa final'!$AB$35="Mayor"),CONCATENATE("R2C",'Mapa final'!$P$35),"")</f>
        <v/>
      </c>
      <c r="AF27" s="10" t="e">
        <f>IF(AND('Mapa final'!#REF!="Media",'Mapa final'!#REF!="Mayor"),CONCATENATE("R2C",'Mapa final'!#REF!),"")</f>
        <v>#REF!</v>
      </c>
      <c r="AG27" s="11" t="e">
        <f>IF(AND('Mapa final'!#REF!="Media",'Mapa final'!#REF!="Mayor"),CONCATENATE("R2C",'Mapa final'!#REF!),"")</f>
        <v>#REF!</v>
      </c>
      <c r="AH27" s="12" t="str">
        <f>IF(AND('Mapa final'!$Z$32="Media",'Mapa final'!$AB$32="Catastrófico"),CONCATENATE("R2C",'Mapa final'!$P$32),"")</f>
        <v/>
      </c>
      <c r="AI27" s="13" t="str">
        <f>IF(AND('Mapa final'!$Z$33="Media",'Mapa final'!$AB$33="Catastrófico"),CONCATENATE("R2C",'Mapa final'!$P$33),"")</f>
        <v/>
      </c>
      <c r="AJ27" s="13" t="str">
        <f>IF(AND('Mapa final'!$Z$34="Media",'Mapa final'!$AB$34="Catastrófico"),CONCATENATE("R2C",'Mapa final'!$P$34),"")</f>
        <v/>
      </c>
      <c r="AK27" s="13" t="str">
        <f>IF(AND('Mapa final'!$Z$35="Media",'Mapa final'!$AB$35="Catastrófico"),CONCATENATE("R2C",'Mapa final'!$P$35),"")</f>
        <v/>
      </c>
      <c r="AL27" s="13" t="e">
        <f>IF(AND('Mapa final'!#REF!="Media",'Mapa final'!#REF!="Catastrófico"),CONCATENATE("R2C",'Mapa final'!#REF!),"")</f>
        <v>#REF!</v>
      </c>
      <c r="AM27" s="14" t="e">
        <f>IF(AND('Mapa final'!#REF!="Media",'Mapa final'!#REF!="Catastrófico"),CONCATENATE("R2C",'Mapa final'!#REF!),"")</f>
        <v>#REF!</v>
      </c>
      <c r="AN27" s="40"/>
      <c r="AO27" s="487"/>
      <c r="AP27" s="488"/>
      <c r="AQ27" s="488"/>
      <c r="AR27" s="488"/>
      <c r="AS27" s="488"/>
      <c r="AT27" s="489"/>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row>
    <row r="28" spans="1:76" ht="15" customHeight="1" x14ac:dyDescent="0.25">
      <c r="A28" s="40"/>
      <c r="B28" s="359"/>
      <c r="C28" s="359"/>
      <c r="D28" s="360"/>
      <c r="E28" s="458"/>
      <c r="F28" s="457"/>
      <c r="G28" s="457"/>
      <c r="H28" s="457"/>
      <c r="I28" s="473"/>
      <c r="J28" s="24" t="str">
        <f>IF(AND('Mapa final'!$Z$36="Media",'Mapa final'!$AB$36="Leve"),CONCATENATE("R3C",'Mapa final'!$P$36),"")</f>
        <v/>
      </c>
      <c r="K28" s="25" t="str">
        <f>IF(AND('Mapa final'!$Z$37="Media",'Mapa final'!$AB$37="Leve"),CONCATENATE("R3C",'Mapa final'!$P$37),"")</f>
        <v/>
      </c>
      <c r="L28" s="25" t="str">
        <f>IF(AND('Mapa final'!$Z$38="Media",'Mapa final'!$AB$38="Leve"),CONCATENATE("R3C",'Mapa final'!$P$38),"")</f>
        <v/>
      </c>
      <c r="M28" s="25" t="str">
        <f>IF(AND('Mapa final'!$Z$39="Media",'Mapa final'!$AB$39="Leve"),CONCATENATE("R3C",'Mapa final'!$P$39),"")</f>
        <v/>
      </c>
      <c r="N28" s="25" t="str">
        <f>IF(AND('Mapa final'!$Z$40="Media",'Mapa final'!$AB$40="Leve"),CONCATENATE("R3C",'Mapa final'!$P$40),"")</f>
        <v/>
      </c>
      <c r="O28" s="26" t="str">
        <f>IF(AND('Mapa final'!$Z$41="Media",'Mapa final'!$AB$41="Leve"),CONCATENATE("R3C",'Mapa final'!$P$41),"")</f>
        <v/>
      </c>
      <c r="P28" s="24" t="str">
        <f>IF(AND('Mapa final'!$Z$36="Media",'Mapa final'!$AB$36="Menor"),CONCATENATE("R3C",'Mapa final'!$P$36),"")</f>
        <v/>
      </c>
      <c r="Q28" s="25" t="str">
        <f>IF(AND('Mapa final'!$Z$37="Media",'Mapa final'!$AB$37="Menor"),CONCATENATE("R3C",'Mapa final'!$P$37),"")</f>
        <v/>
      </c>
      <c r="R28" s="25" t="str">
        <f>IF(AND('Mapa final'!$Z$38="Media",'Mapa final'!$AB$38="Menor"),CONCATENATE("R3C",'Mapa final'!$P$38),"")</f>
        <v/>
      </c>
      <c r="S28" s="25" t="str">
        <f>IF(AND('Mapa final'!$Z$39="Media",'Mapa final'!$AB$39="Menor"),CONCATENATE("R3C",'Mapa final'!$P$39),"")</f>
        <v/>
      </c>
      <c r="T28" s="25" t="str">
        <f>IF(AND('Mapa final'!$Z$40="Media",'Mapa final'!$AB$40="Menor"),CONCATENATE("R3C",'Mapa final'!$P$40),"")</f>
        <v/>
      </c>
      <c r="U28" s="26" t="str">
        <f>IF(AND('Mapa final'!$Z$41="Media",'Mapa final'!$AB$41="Menor"),CONCATENATE("R3C",'Mapa final'!$P$41),"")</f>
        <v/>
      </c>
      <c r="V28" s="24" t="str">
        <f>IF(AND('Mapa final'!$Z$36="Media",'Mapa final'!$AB$36="Moderado"),CONCATENATE("R3C",'Mapa final'!$P$36),"")</f>
        <v/>
      </c>
      <c r="W28" s="25" t="str">
        <f>IF(AND('Mapa final'!$Z$37="Media",'Mapa final'!$AB$37="Moderado"),CONCATENATE("R3C",'Mapa final'!$P$37),"")</f>
        <v/>
      </c>
      <c r="X28" s="25" t="str">
        <f>IF(AND('Mapa final'!$Z$38="Media",'Mapa final'!$AB$38="Moderado"),CONCATENATE("R3C",'Mapa final'!$P$38),"")</f>
        <v/>
      </c>
      <c r="Y28" s="25" t="str">
        <f>IF(AND('Mapa final'!$Z$39="Media",'Mapa final'!$AB$39="Moderado"),CONCATENATE("R3C",'Mapa final'!$P$39),"")</f>
        <v/>
      </c>
      <c r="Z28" s="25" t="str">
        <f>IF(AND('Mapa final'!$Z$40="Media",'Mapa final'!$AB$40="Moderado"),CONCATENATE("R3C",'Mapa final'!$P$40),"")</f>
        <v/>
      </c>
      <c r="AA28" s="26" t="str">
        <f>IF(AND('Mapa final'!$Z$41="Media",'Mapa final'!$AB$41="Moderado"),CONCATENATE("R3C",'Mapa final'!$P$41),"")</f>
        <v/>
      </c>
      <c r="AB28" s="9" t="str">
        <f>IF(AND('Mapa final'!$Z$36="Media",'Mapa final'!$AB$36="Mayor"),CONCATENATE("R3C",'Mapa final'!$P$36),"")</f>
        <v/>
      </c>
      <c r="AC28" s="10" t="str">
        <f>IF(AND('Mapa final'!$Z$37="Media",'Mapa final'!$AB$37="Mayor"),CONCATENATE("R3C",'Mapa final'!$P$37),"")</f>
        <v/>
      </c>
      <c r="AD28" s="10" t="str">
        <f>IF(AND('Mapa final'!$Z$38="Media",'Mapa final'!$AB$38="Mayor"),CONCATENATE("R3C",'Mapa final'!$P$38),"")</f>
        <v/>
      </c>
      <c r="AE28" s="10" t="str">
        <f>IF(AND('Mapa final'!$Z$39="Media",'Mapa final'!$AB$39="Mayor"),CONCATENATE("R3C",'Mapa final'!$P$39),"")</f>
        <v/>
      </c>
      <c r="AF28" s="10" t="str">
        <f>IF(AND('Mapa final'!$Z$40="Media",'Mapa final'!$AB$40="Mayor"),CONCATENATE("R3C",'Mapa final'!$P$40),"")</f>
        <v/>
      </c>
      <c r="AG28" s="11" t="str">
        <f>IF(AND('Mapa final'!$Z$41="Media",'Mapa final'!$AB$41="Mayor"),CONCATENATE("R3C",'Mapa final'!$P$41),"")</f>
        <v/>
      </c>
      <c r="AH28" s="12" t="str">
        <f>IF(AND('Mapa final'!$Z$36="Media",'Mapa final'!$AB$36="Catastrófico"),CONCATENATE("R3C",'Mapa final'!$P$36),"")</f>
        <v/>
      </c>
      <c r="AI28" s="13" t="str">
        <f>IF(AND('Mapa final'!$Z$37="Media",'Mapa final'!$AB$37="Catastrófico"),CONCATENATE("R3C",'Mapa final'!$P$37),"")</f>
        <v/>
      </c>
      <c r="AJ28" s="13" t="str">
        <f>IF(AND('Mapa final'!$Z$38="Media",'Mapa final'!$AB$38="Catastrófico"),CONCATENATE("R3C",'Mapa final'!$P$38),"")</f>
        <v/>
      </c>
      <c r="AK28" s="13" t="str">
        <f>IF(AND('Mapa final'!$Z$39="Media",'Mapa final'!$AB$39="Catastrófico"),CONCATENATE("R3C",'Mapa final'!$P$39),"")</f>
        <v/>
      </c>
      <c r="AL28" s="13" t="str">
        <f>IF(AND('Mapa final'!$Z$40="Media",'Mapa final'!$AB$40="Catastrófico"),CONCATENATE("R3C",'Mapa final'!$P$40),"")</f>
        <v/>
      </c>
      <c r="AM28" s="14" t="str">
        <f>IF(AND('Mapa final'!$Z$41="Media",'Mapa final'!$AB$41="Catastrófico"),CONCATENATE("R3C",'Mapa final'!$P$41),"")</f>
        <v/>
      </c>
      <c r="AN28" s="40"/>
      <c r="AO28" s="487"/>
      <c r="AP28" s="488"/>
      <c r="AQ28" s="488"/>
      <c r="AR28" s="488"/>
      <c r="AS28" s="488"/>
      <c r="AT28" s="489"/>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row>
    <row r="29" spans="1:76" ht="15" customHeight="1" x14ac:dyDescent="0.25">
      <c r="A29" s="40"/>
      <c r="B29" s="359"/>
      <c r="C29" s="359"/>
      <c r="D29" s="360"/>
      <c r="E29" s="458"/>
      <c r="F29" s="457"/>
      <c r="G29" s="457"/>
      <c r="H29" s="457"/>
      <c r="I29" s="473"/>
      <c r="J29" s="24" t="str">
        <f>IF(AND('Mapa final'!$Z$42="Media",'Mapa final'!$AB$42="Leve"),CONCATENATE("R4C",'Mapa final'!$P$42),"")</f>
        <v/>
      </c>
      <c r="K29" s="25" t="str">
        <f>IF(AND('Mapa final'!$Z$43="Media",'Mapa final'!$AB$43="Leve"),CONCATENATE("R4C",'Mapa final'!$P$43),"")</f>
        <v/>
      </c>
      <c r="L29" s="25" t="str">
        <f>IF(AND('Mapa final'!$Z$44="Media",'Mapa final'!$AB$44="Leve"),CONCATENATE("R4C",'Mapa final'!$P$44),"")</f>
        <v/>
      </c>
      <c r="M29" s="25" t="str">
        <f>IF(AND('Mapa final'!$Z$45="Media",'Mapa final'!$AB$45="Leve"),CONCATENATE("R4C",'Mapa final'!$P$45),"")</f>
        <v/>
      </c>
      <c r="N29" s="25" t="str">
        <f>IF(AND('Mapa final'!$Z$46="Media",'Mapa final'!$AB$46="Leve"),CONCATENATE("R4C",'Mapa final'!$P$46),"")</f>
        <v/>
      </c>
      <c r="O29" s="26" t="str">
        <f>IF(AND('Mapa final'!$Z$47="Media",'Mapa final'!$AB$47="Leve"),CONCATENATE("R4C",'Mapa final'!$P$47),"")</f>
        <v/>
      </c>
      <c r="P29" s="24" t="str">
        <f>IF(AND('Mapa final'!$Z$42="Media",'Mapa final'!$AB$42="Menor"),CONCATENATE("R4C",'Mapa final'!$P$42),"")</f>
        <v/>
      </c>
      <c r="Q29" s="25" t="str">
        <f>IF(AND('Mapa final'!$Z$43="Media",'Mapa final'!$AB$43="Menor"),CONCATENATE("R4C",'Mapa final'!$P$43),"")</f>
        <v/>
      </c>
      <c r="R29" s="25" t="str">
        <f>IF(AND('Mapa final'!$Z$44="Media",'Mapa final'!$AB$44="Menor"),CONCATENATE("R4C",'Mapa final'!$P$44),"")</f>
        <v/>
      </c>
      <c r="S29" s="25" t="str">
        <f>IF(AND('Mapa final'!$Z$45="Media",'Mapa final'!$AB$45="Menor"),CONCATENATE("R4C",'Mapa final'!$P$45),"")</f>
        <v/>
      </c>
      <c r="T29" s="25" t="str">
        <f>IF(AND('Mapa final'!$Z$46="Media",'Mapa final'!$AB$46="Menor"),CONCATENATE("R4C",'Mapa final'!$P$46),"")</f>
        <v/>
      </c>
      <c r="U29" s="26" t="str">
        <f>IF(AND('Mapa final'!$Z$47="Media",'Mapa final'!$AB$47="Menor"),CONCATENATE("R4C",'Mapa final'!$P$47),"")</f>
        <v/>
      </c>
      <c r="V29" s="24" t="str">
        <f>IF(AND('Mapa final'!$Z$42="Media",'Mapa final'!$AB$42="Moderado"),CONCATENATE("R4C",'Mapa final'!$P$42),"")</f>
        <v/>
      </c>
      <c r="W29" s="25" t="str">
        <f>IF(AND('Mapa final'!$Z$43="Media",'Mapa final'!$AB$43="Moderado"),CONCATENATE("R4C",'Mapa final'!$P$43),"")</f>
        <v/>
      </c>
      <c r="X29" s="25" t="str">
        <f>IF(AND('Mapa final'!$Z$44="Media",'Mapa final'!$AB$44="Moderado"),CONCATENATE("R4C",'Mapa final'!$P$44),"")</f>
        <v/>
      </c>
      <c r="Y29" s="25" t="str">
        <f>IF(AND('Mapa final'!$Z$45="Media",'Mapa final'!$AB$45="Moderado"),CONCATENATE("R4C",'Mapa final'!$P$45),"")</f>
        <v/>
      </c>
      <c r="Z29" s="25" t="str">
        <f>IF(AND('Mapa final'!$Z$46="Media",'Mapa final'!$AB$46="Moderado"),CONCATENATE("R4C",'Mapa final'!$P$46),"")</f>
        <v/>
      </c>
      <c r="AA29" s="26" t="str">
        <f>IF(AND('Mapa final'!$Z$47="Media",'Mapa final'!$AB$47="Moderado"),CONCATENATE("R4C",'Mapa final'!$P$47),"")</f>
        <v/>
      </c>
      <c r="AB29" s="9" t="str">
        <f>IF(AND('Mapa final'!$Z$42="Media",'Mapa final'!$AB$42="Mayor"),CONCATENATE("R4C",'Mapa final'!$P$42),"")</f>
        <v/>
      </c>
      <c r="AC29" s="10" t="str">
        <f>IF(AND('Mapa final'!$Z$43="Media",'Mapa final'!$AB$43="Mayor"),CONCATENATE("R4C",'Mapa final'!$P$43),"")</f>
        <v/>
      </c>
      <c r="AD29" s="10" t="str">
        <f>IF(AND('Mapa final'!$Z$44="Media",'Mapa final'!$AB$44="Mayor"),CONCATENATE("R4C",'Mapa final'!$P$44),"")</f>
        <v/>
      </c>
      <c r="AE29" s="10" t="str">
        <f>IF(AND('Mapa final'!$Z$45="Media",'Mapa final'!$AB$45="Mayor"),CONCATENATE("R4C",'Mapa final'!$P$45),"")</f>
        <v/>
      </c>
      <c r="AF29" s="10" t="str">
        <f>IF(AND('Mapa final'!$Z$46="Media",'Mapa final'!$AB$46="Mayor"),CONCATENATE("R4C",'Mapa final'!$P$46),"")</f>
        <v/>
      </c>
      <c r="AG29" s="11" t="str">
        <f>IF(AND('Mapa final'!$Z$47="Media",'Mapa final'!$AB$47="Mayor"),CONCATENATE("R4C",'Mapa final'!$P$47),"")</f>
        <v/>
      </c>
      <c r="AH29" s="12" t="str">
        <f>IF(AND('Mapa final'!$Z$42="Media",'Mapa final'!$AB$42="Catastrófico"),CONCATENATE("R4C",'Mapa final'!$P$42),"")</f>
        <v/>
      </c>
      <c r="AI29" s="13" t="str">
        <f>IF(AND('Mapa final'!$Z$43="Media",'Mapa final'!$AB$43="Catastrófico"),CONCATENATE("R4C",'Mapa final'!$P$43),"")</f>
        <v/>
      </c>
      <c r="AJ29" s="13" t="str">
        <f>IF(AND('Mapa final'!$Z$44="Media",'Mapa final'!$AB$44="Catastrófico"),CONCATENATE("R4C",'Mapa final'!$P$44),"")</f>
        <v/>
      </c>
      <c r="AK29" s="13" t="str">
        <f>IF(AND('Mapa final'!$Z$45="Media",'Mapa final'!$AB$45="Catastrófico"),CONCATENATE("R4C",'Mapa final'!$P$45),"")</f>
        <v/>
      </c>
      <c r="AL29" s="13" t="str">
        <f>IF(AND('Mapa final'!$Z$46="Media",'Mapa final'!$AB$46="Catastrófico"),CONCATENATE("R4C",'Mapa final'!$P$46),"")</f>
        <v/>
      </c>
      <c r="AM29" s="14" t="str">
        <f>IF(AND('Mapa final'!$Z$47="Media",'Mapa final'!$AB$47="Catastrófico"),CONCATENATE("R4C",'Mapa final'!$P$47),"")</f>
        <v/>
      </c>
      <c r="AN29" s="40"/>
      <c r="AO29" s="487"/>
      <c r="AP29" s="488"/>
      <c r="AQ29" s="488"/>
      <c r="AR29" s="488"/>
      <c r="AS29" s="488"/>
      <c r="AT29" s="489"/>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row>
    <row r="30" spans="1:76" ht="15" customHeight="1" x14ac:dyDescent="0.25">
      <c r="A30" s="40"/>
      <c r="B30" s="359"/>
      <c r="C30" s="359"/>
      <c r="D30" s="360"/>
      <c r="E30" s="458"/>
      <c r="F30" s="457"/>
      <c r="G30" s="457"/>
      <c r="H30" s="457"/>
      <c r="I30" s="473"/>
      <c r="J30" s="24" t="str">
        <f>IF(AND('Mapa final'!$Z$48="Media",'Mapa final'!$AB$48="Leve"),CONCATENATE("R5C",'Mapa final'!$P$48),"")</f>
        <v/>
      </c>
      <c r="K30" s="25" t="str">
        <f>IF(AND('Mapa final'!$Z$49="Media",'Mapa final'!$AB$49="Leve"),CONCATENATE("R5C",'Mapa final'!$P$49),"")</f>
        <v/>
      </c>
      <c r="L30" s="25" t="str">
        <f>IF(AND('Mapa final'!$Z$50="Media",'Mapa final'!$AB$50="Leve"),CONCATENATE("R5C",'Mapa final'!$P$50),"")</f>
        <v/>
      </c>
      <c r="M30" s="25" t="str">
        <f>IF(AND('Mapa final'!$Z$51="Media",'Mapa final'!$AB$51="Leve"),CONCATENATE("R5C",'Mapa final'!$P$51),"")</f>
        <v/>
      </c>
      <c r="N30" s="25" t="str">
        <f>IF(AND('Mapa final'!$Z$52="Media",'Mapa final'!$AB$52="Leve"),CONCATENATE("R5C",'Mapa final'!$P$52),"")</f>
        <v/>
      </c>
      <c r="O30" s="26" t="str">
        <f>IF(AND('Mapa final'!$Z$53="Media",'Mapa final'!$AB$53="Leve"),CONCATENATE("R5C",'Mapa final'!$P$53),"")</f>
        <v/>
      </c>
      <c r="P30" s="24" t="str">
        <f>IF(AND('Mapa final'!$Z$48="Media",'Mapa final'!$AB$48="Menor"),CONCATENATE("R5C",'Mapa final'!$P$48),"")</f>
        <v/>
      </c>
      <c r="Q30" s="25" t="str">
        <f>IF(AND('Mapa final'!$Z$49="Media",'Mapa final'!$AB$49="Menor"),CONCATENATE("R5C",'Mapa final'!$P$49),"")</f>
        <v/>
      </c>
      <c r="R30" s="25" t="str">
        <f>IF(AND('Mapa final'!$Z$50="Media",'Mapa final'!$AB$50="Menor"),CONCATENATE("R5C",'Mapa final'!$P$50),"")</f>
        <v/>
      </c>
      <c r="S30" s="25" t="str">
        <f>IF(AND('Mapa final'!$Z$51="Media",'Mapa final'!$AB$51="Menor"),CONCATENATE("R5C",'Mapa final'!$P$51),"")</f>
        <v/>
      </c>
      <c r="T30" s="25" t="str">
        <f>IF(AND('Mapa final'!$Z$52="Media",'Mapa final'!$AB$52="Menor"),CONCATENATE("R5C",'Mapa final'!$P$52),"")</f>
        <v/>
      </c>
      <c r="U30" s="26" t="str">
        <f>IF(AND('Mapa final'!$Z$53="Media",'Mapa final'!$AB$53="Menor"),CONCATENATE("R5C",'Mapa final'!$P$53),"")</f>
        <v/>
      </c>
      <c r="V30" s="24" t="str">
        <f>IF(AND('Mapa final'!$Z$48="Media",'Mapa final'!$AB$48="Moderado"),CONCATENATE("R5C",'Mapa final'!$P$48),"")</f>
        <v/>
      </c>
      <c r="W30" s="25" t="str">
        <f>IF(AND('Mapa final'!$Z$49="Media",'Mapa final'!$AB$49="Moderado"),CONCATENATE("R5C",'Mapa final'!$P$49),"")</f>
        <v/>
      </c>
      <c r="X30" s="25" t="str">
        <f>IF(AND('Mapa final'!$Z$50="Media",'Mapa final'!$AB$50="Moderado"),CONCATENATE("R5C",'Mapa final'!$P$50),"")</f>
        <v/>
      </c>
      <c r="Y30" s="25" t="str">
        <f>IF(AND('Mapa final'!$Z$51="Media",'Mapa final'!$AB$51="Moderado"),CONCATENATE("R5C",'Mapa final'!$P$51),"")</f>
        <v/>
      </c>
      <c r="Z30" s="25" t="str">
        <f>IF(AND('Mapa final'!$Z$52="Media",'Mapa final'!$AB$52="Moderado"),CONCATENATE("R5C",'Mapa final'!$P$52),"")</f>
        <v/>
      </c>
      <c r="AA30" s="26" t="str">
        <f>IF(AND('Mapa final'!$Z$53="Media",'Mapa final'!$AB$53="Moderado"),CONCATENATE("R5C",'Mapa final'!$P$53),"")</f>
        <v/>
      </c>
      <c r="AB30" s="9" t="str">
        <f>IF(AND('Mapa final'!$Z$48="Media",'Mapa final'!$AB$48="Mayor"),CONCATENATE("R5C",'Mapa final'!$P$48),"")</f>
        <v/>
      </c>
      <c r="AC30" s="10" t="str">
        <f>IF(AND('Mapa final'!$Z$49="Media",'Mapa final'!$AB$49="Mayor"),CONCATENATE("R5C",'Mapa final'!$P$49),"")</f>
        <v/>
      </c>
      <c r="AD30" s="10" t="str">
        <f>IF(AND('Mapa final'!$Z$50="Media",'Mapa final'!$AB$50="Mayor"),CONCATENATE("R5C",'Mapa final'!$P$50),"")</f>
        <v/>
      </c>
      <c r="AE30" s="10" t="str">
        <f>IF(AND('Mapa final'!$Z$51="Media",'Mapa final'!$AB$51="Mayor"),CONCATENATE("R5C",'Mapa final'!$P$51),"")</f>
        <v/>
      </c>
      <c r="AF30" s="10" t="str">
        <f>IF(AND('Mapa final'!$Z$52="Media",'Mapa final'!$AB$52="Mayor"),CONCATENATE("R5C",'Mapa final'!$P$52),"")</f>
        <v/>
      </c>
      <c r="AG30" s="11" t="str">
        <f>IF(AND('Mapa final'!$Z$53="Media",'Mapa final'!$AB$53="Mayor"),CONCATENATE("R5C",'Mapa final'!$P$53),"")</f>
        <v/>
      </c>
      <c r="AH30" s="12" t="str">
        <f>IF(AND('Mapa final'!$Z$48="Media",'Mapa final'!$AB$48="Catastrófico"),CONCATENATE("R5C",'Mapa final'!$P$48),"")</f>
        <v/>
      </c>
      <c r="AI30" s="13" t="str">
        <f>IF(AND('Mapa final'!$Z$49="Media",'Mapa final'!$AB$49="Catastrófico"),CONCATENATE("R5C",'Mapa final'!$P$49),"")</f>
        <v/>
      </c>
      <c r="AJ30" s="13" t="str">
        <f>IF(AND('Mapa final'!$Z$50="Media",'Mapa final'!$AB$50="Catastrófico"),CONCATENATE("R5C",'Mapa final'!$P$50),"")</f>
        <v/>
      </c>
      <c r="AK30" s="13" t="str">
        <f>IF(AND('Mapa final'!$Z$51="Media",'Mapa final'!$AB$51="Catastrófico"),CONCATENATE("R5C",'Mapa final'!$P$51),"")</f>
        <v/>
      </c>
      <c r="AL30" s="13" t="str">
        <f>IF(AND('Mapa final'!$Z$52="Media",'Mapa final'!$AB$52="Catastrófico"),CONCATENATE("R5C",'Mapa final'!$P$52),"")</f>
        <v/>
      </c>
      <c r="AM30" s="14" t="str">
        <f>IF(AND('Mapa final'!$Z$53="Media",'Mapa final'!$AB$53="Catastrófico"),CONCATENATE("R5C",'Mapa final'!$P$53),"")</f>
        <v/>
      </c>
      <c r="AN30" s="40"/>
      <c r="AO30" s="487"/>
      <c r="AP30" s="488"/>
      <c r="AQ30" s="488"/>
      <c r="AR30" s="488"/>
      <c r="AS30" s="488"/>
      <c r="AT30" s="489"/>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row>
    <row r="31" spans="1:76" ht="15" customHeight="1" x14ac:dyDescent="0.25">
      <c r="A31" s="40"/>
      <c r="B31" s="359"/>
      <c r="C31" s="359"/>
      <c r="D31" s="360"/>
      <c r="E31" s="458"/>
      <c r="F31" s="457"/>
      <c r="G31" s="457"/>
      <c r="H31" s="457"/>
      <c r="I31" s="473"/>
      <c r="J31" s="24" t="str">
        <f>IF(AND('Mapa final'!$Z$54="Media",'Mapa final'!$AB$54="Leve"),CONCATENATE("R6C",'Mapa final'!$P$54),"")</f>
        <v/>
      </c>
      <c r="K31" s="25" t="str">
        <f>IF(AND('Mapa final'!$Z$55="Media",'Mapa final'!$AB$55="Leve"),CONCATENATE("R6C",'Mapa final'!$P$55),"")</f>
        <v/>
      </c>
      <c r="L31" s="25" t="str">
        <f>IF(AND('Mapa final'!$Z$56="Media",'Mapa final'!$AB$56="Leve"),CONCATENATE("R6C",'Mapa final'!$P$56),"")</f>
        <v/>
      </c>
      <c r="M31" s="25" t="str">
        <f>IF(AND('Mapa final'!$Z$57="Media",'Mapa final'!$AB$57="Leve"),CONCATENATE("R6C",'Mapa final'!$P$57),"")</f>
        <v/>
      </c>
      <c r="N31" s="25" t="str">
        <f>IF(AND('Mapa final'!$Z$58="Media",'Mapa final'!$AB$58="Leve"),CONCATENATE("R6C",'Mapa final'!$P$58),"")</f>
        <v/>
      </c>
      <c r="O31" s="26" t="str">
        <f>IF(AND('Mapa final'!$Z$59="Media",'Mapa final'!$AB$59="Leve"),CONCATENATE("R6C",'Mapa final'!$P$59),"")</f>
        <v/>
      </c>
      <c r="P31" s="24" t="str">
        <f>IF(AND('Mapa final'!$Z$54="Media",'Mapa final'!$AB$54="Menor"),CONCATENATE("R6C",'Mapa final'!$P$54),"")</f>
        <v/>
      </c>
      <c r="Q31" s="25" t="str">
        <f>IF(AND('Mapa final'!$Z$55="Media",'Mapa final'!$AB$55="Menor"),CONCATENATE("R6C",'Mapa final'!$P$55),"")</f>
        <v/>
      </c>
      <c r="R31" s="25" t="str">
        <f>IF(AND('Mapa final'!$Z$56="Media",'Mapa final'!$AB$56="Menor"),CONCATENATE("R6C",'Mapa final'!$P$56),"")</f>
        <v/>
      </c>
      <c r="S31" s="25" t="str">
        <f>IF(AND('Mapa final'!$Z$57="Media",'Mapa final'!$AB$57="Menor"),CONCATENATE("R6C",'Mapa final'!$P$57),"")</f>
        <v/>
      </c>
      <c r="T31" s="25" t="str">
        <f>IF(AND('Mapa final'!$Z$58="Media",'Mapa final'!$AB$58="Menor"),CONCATENATE("R6C",'Mapa final'!$P$58),"")</f>
        <v/>
      </c>
      <c r="U31" s="26" t="str">
        <f>IF(AND('Mapa final'!$Z$59="Media",'Mapa final'!$AB$59="Menor"),CONCATENATE("R6C",'Mapa final'!$P$59),"")</f>
        <v/>
      </c>
      <c r="V31" s="24" t="str">
        <f>IF(AND('Mapa final'!$Z$54="Media",'Mapa final'!$AB$54="Moderado"),CONCATENATE("R6C",'Mapa final'!$P$54),"")</f>
        <v/>
      </c>
      <c r="W31" s="25" t="str">
        <f>IF(AND('Mapa final'!$Z$55="Media",'Mapa final'!$AB$55="Moderado"),CONCATENATE("R6C",'Mapa final'!$P$55),"")</f>
        <v/>
      </c>
      <c r="X31" s="25" t="str">
        <f>IF(AND('Mapa final'!$Z$56="Media",'Mapa final'!$AB$56="Moderado"),CONCATENATE("R6C",'Mapa final'!$P$56),"")</f>
        <v/>
      </c>
      <c r="Y31" s="25" t="str">
        <f>IF(AND('Mapa final'!$Z$57="Media",'Mapa final'!$AB$57="Moderado"),CONCATENATE("R6C",'Mapa final'!$P$57),"")</f>
        <v/>
      </c>
      <c r="Z31" s="25" t="str">
        <f>IF(AND('Mapa final'!$Z$58="Media",'Mapa final'!$AB$58="Moderado"),CONCATENATE("R6C",'Mapa final'!$P$58),"")</f>
        <v/>
      </c>
      <c r="AA31" s="26" t="str">
        <f>IF(AND('Mapa final'!$Z$59="Media",'Mapa final'!$AB$59="Moderado"),CONCATENATE("R6C",'Mapa final'!$P$59),"")</f>
        <v/>
      </c>
      <c r="AB31" s="9" t="str">
        <f>IF(AND('Mapa final'!$Z$54="Media",'Mapa final'!$AB$54="Mayor"),CONCATENATE("R6C",'Mapa final'!$P$54),"")</f>
        <v/>
      </c>
      <c r="AC31" s="10" t="str">
        <f>IF(AND('Mapa final'!$Z$55="Media",'Mapa final'!$AB$55="Mayor"),CONCATENATE("R6C",'Mapa final'!$P$55),"")</f>
        <v/>
      </c>
      <c r="AD31" s="10" t="str">
        <f>IF(AND('Mapa final'!$Z$56="Media",'Mapa final'!$AB$56="Mayor"),CONCATENATE("R6C",'Mapa final'!$P$56),"")</f>
        <v/>
      </c>
      <c r="AE31" s="10" t="str">
        <f>IF(AND('Mapa final'!$Z$57="Media",'Mapa final'!$AB$57="Mayor"),CONCATENATE("R6C",'Mapa final'!$P$57),"")</f>
        <v/>
      </c>
      <c r="AF31" s="10" t="str">
        <f>IF(AND('Mapa final'!$Z$58="Media",'Mapa final'!$AB$58="Mayor"),CONCATENATE("R6C",'Mapa final'!$P$58),"")</f>
        <v/>
      </c>
      <c r="AG31" s="11" t="str">
        <f>IF(AND('Mapa final'!$Z$59="Media",'Mapa final'!$AB$59="Mayor"),CONCATENATE("R6C",'Mapa final'!$P$59),"")</f>
        <v/>
      </c>
      <c r="AH31" s="12" t="str">
        <f>IF(AND('Mapa final'!$Z$54="Media",'Mapa final'!$AB$54="Catastrófico"),CONCATENATE("R6C",'Mapa final'!$P$54),"")</f>
        <v/>
      </c>
      <c r="AI31" s="13" t="str">
        <f>IF(AND('Mapa final'!$Z$55="Media",'Mapa final'!$AB$55="Catastrófico"),CONCATENATE("R6C",'Mapa final'!$P$55),"")</f>
        <v/>
      </c>
      <c r="AJ31" s="13" t="str">
        <f>IF(AND('Mapa final'!$Z$56="Media",'Mapa final'!$AB$56="Catastrófico"),CONCATENATE("R6C",'Mapa final'!$P$56),"")</f>
        <v/>
      </c>
      <c r="AK31" s="13" t="str">
        <f>IF(AND('Mapa final'!$Z$57="Media",'Mapa final'!$AB$57="Catastrófico"),CONCATENATE("R6C",'Mapa final'!$P$57),"")</f>
        <v/>
      </c>
      <c r="AL31" s="13" t="str">
        <f>IF(AND('Mapa final'!$Z$58="Media",'Mapa final'!$AB$58="Catastrófico"),CONCATENATE("R6C",'Mapa final'!$P$58),"")</f>
        <v/>
      </c>
      <c r="AM31" s="14" t="str">
        <f>IF(AND('Mapa final'!$Z$59="Media",'Mapa final'!$AB$59="Catastrófico"),CONCATENATE("R6C",'Mapa final'!$P$59),"")</f>
        <v/>
      </c>
      <c r="AN31" s="40"/>
      <c r="AO31" s="487"/>
      <c r="AP31" s="488"/>
      <c r="AQ31" s="488"/>
      <c r="AR31" s="488"/>
      <c r="AS31" s="488"/>
      <c r="AT31" s="489"/>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row>
    <row r="32" spans="1:76" ht="15" customHeight="1" x14ac:dyDescent="0.25">
      <c r="A32" s="40"/>
      <c r="B32" s="359"/>
      <c r="C32" s="359"/>
      <c r="D32" s="360"/>
      <c r="E32" s="458"/>
      <c r="F32" s="457"/>
      <c r="G32" s="457"/>
      <c r="H32" s="457"/>
      <c r="I32" s="473"/>
      <c r="J32" s="24" t="str">
        <f>IF(AND('Mapa final'!$Z$60="Media",'Mapa final'!$AB$60="Leve"),CONCATENATE("R7C",'Mapa final'!$P$60),"")</f>
        <v/>
      </c>
      <c r="K32" s="25" t="str">
        <f>IF(AND('Mapa final'!$Z$61="Media",'Mapa final'!$AB$61="Leve"),CONCATENATE("R7C",'Mapa final'!$P$61),"")</f>
        <v/>
      </c>
      <c r="L32" s="25" t="str">
        <f>IF(AND('Mapa final'!$Z$62="Media",'Mapa final'!$AB$62="Leve"),CONCATENATE("R7C",'Mapa final'!$P$62),"")</f>
        <v/>
      </c>
      <c r="M32" s="25" t="str">
        <f>IF(AND('Mapa final'!$Z$63="Media",'Mapa final'!$AB$63="Leve"),CONCATENATE("R7C",'Mapa final'!$P$63),"")</f>
        <v/>
      </c>
      <c r="N32" s="25" t="str">
        <f>IF(AND('Mapa final'!$Z$64="Media",'Mapa final'!$AB$64="Leve"),CONCATENATE("R7C",'Mapa final'!$P$64),"")</f>
        <v/>
      </c>
      <c r="O32" s="26" t="str">
        <f>IF(AND('Mapa final'!$Z$65="Media",'Mapa final'!$AB$65="Leve"),CONCATENATE("R7C",'Mapa final'!$P$65),"")</f>
        <v/>
      </c>
      <c r="P32" s="24" t="str">
        <f>IF(AND('Mapa final'!$Z$60="Media",'Mapa final'!$AB$60="Menor"),CONCATENATE("R7C",'Mapa final'!$P$60),"")</f>
        <v/>
      </c>
      <c r="Q32" s="25" t="str">
        <f>IF(AND('Mapa final'!$Z$61="Media",'Mapa final'!$AB$61="Menor"),CONCATENATE("R7C",'Mapa final'!$P$61),"")</f>
        <v/>
      </c>
      <c r="R32" s="25" t="str">
        <f>IF(AND('Mapa final'!$Z$62="Media",'Mapa final'!$AB$62="Menor"),CONCATENATE("R7C",'Mapa final'!$P$62),"")</f>
        <v/>
      </c>
      <c r="S32" s="25" t="str">
        <f>IF(AND('Mapa final'!$Z$63="Media",'Mapa final'!$AB$63="Menor"),CONCATENATE("R7C",'Mapa final'!$P$63),"")</f>
        <v/>
      </c>
      <c r="T32" s="25" t="str">
        <f>IF(AND('Mapa final'!$Z$64="Media",'Mapa final'!$AB$64="Menor"),CONCATENATE("R7C",'Mapa final'!$P$64),"")</f>
        <v/>
      </c>
      <c r="U32" s="26" t="str">
        <f>IF(AND('Mapa final'!$Z$65="Media",'Mapa final'!$AB$65="Menor"),CONCATENATE("R7C",'Mapa final'!$P$65),"")</f>
        <v/>
      </c>
      <c r="V32" s="24" t="str">
        <f>IF(AND('Mapa final'!$Z$60="Media",'Mapa final'!$AB$60="Moderado"),CONCATENATE("R7C",'Mapa final'!$P$60),"")</f>
        <v/>
      </c>
      <c r="W32" s="25" t="str">
        <f>IF(AND('Mapa final'!$Z$61="Media",'Mapa final'!$AB$61="Moderado"),CONCATENATE("R7C",'Mapa final'!$P$61),"")</f>
        <v/>
      </c>
      <c r="X32" s="25" t="str">
        <f>IF(AND('Mapa final'!$Z$62="Media",'Mapa final'!$AB$62="Moderado"),CONCATENATE("R7C",'Mapa final'!$P$62),"")</f>
        <v/>
      </c>
      <c r="Y32" s="25" t="str">
        <f>IF(AND('Mapa final'!$Z$63="Media",'Mapa final'!$AB$63="Moderado"),CONCATENATE("R7C",'Mapa final'!$P$63),"")</f>
        <v/>
      </c>
      <c r="Z32" s="25" t="str">
        <f>IF(AND('Mapa final'!$Z$64="Media",'Mapa final'!$AB$64="Moderado"),CONCATENATE("R7C",'Mapa final'!$P$64),"")</f>
        <v/>
      </c>
      <c r="AA32" s="26" t="str">
        <f>IF(AND('Mapa final'!$Z$65="Media",'Mapa final'!$AB$65="Moderado"),CONCATENATE("R7C",'Mapa final'!$P$65),"")</f>
        <v/>
      </c>
      <c r="AB32" s="9" t="str">
        <f>IF(AND('Mapa final'!$Z$60="Media",'Mapa final'!$AB$60="Mayor"),CONCATENATE("R7C",'Mapa final'!$P$60),"")</f>
        <v/>
      </c>
      <c r="AC32" s="10" t="str">
        <f>IF(AND('Mapa final'!$Z$61="Media",'Mapa final'!$AB$61="Mayor"),CONCATENATE("R7C",'Mapa final'!$P$61),"")</f>
        <v/>
      </c>
      <c r="AD32" s="10" t="str">
        <f>IF(AND('Mapa final'!$Z$62="Media",'Mapa final'!$AB$62="Mayor"),CONCATENATE("R7C",'Mapa final'!$P$62),"")</f>
        <v/>
      </c>
      <c r="AE32" s="10" t="str">
        <f>IF(AND('Mapa final'!$Z$63="Media",'Mapa final'!$AB$63="Mayor"),CONCATENATE("R7C",'Mapa final'!$P$63),"")</f>
        <v/>
      </c>
      <c r="AF32" s="10" t="str">
        <f>IF(AND('Mapa final'!$Z$64="Media",'Mapa final'!$AB$64="Mayor"),CONCATENATE("R7C",'Mapa final'!$P$64),"")</f>
        <v/>
      </c>
      <c r="AG32" s="11" t="str">
        <f>IF(AND('Mapa final'!$Z$65="Media",'Mapa final'!$AB$65="Mayor"),CONCATENATE("R7C",'Mapa final'!$P$65),"")</f>
        <v/>
      </c>
      <c r="AH32" s="12" t="str">
        <f>IF(AND('Mapa final'!$Z$60="Media",'Mapa final'!$AB$60="Catastrófico"),CONCATENATE("R7C",'Mapa final'!$P$60),"")</f>
        <v/>
      </c>
      <c r="AI32" s="13" t="str">
        <f>IF(AND('Mapa final'!$Z$61="Media",'Mapa final'!$AB$61="Catastrófico"),CONCATENATE("R7C",'Mapa final'!$P$61),"")</f>
        <v/>
      </c>
      <c r="AJ32" s="13" t="str">
        <f>IF(AND('Mapa final'!$Z$62="Media",'Mapa final'!$AB$62="Catastrófico"),CONCATENATE("R7C",'Mapa final'!$P$62),"")</f>
        <v/>
      </c>
      <c r="AK32" s="13" t="str">
        <f>IF(AND('Mapa final'!$Z$63="Media",'Mapa final'!$AB$63="Catastrófico"),CONCATENATE("R7C",'Mapa final'!$P$63),"")</f>
        <v/>
      </c>
      <c r="AL32" s="13" t="str">
        <f>IF(AND('Mapa final'!$Z$64="Media",'Mapa final'!$AB$64="Catastrófico"),CONCATENATE("R7C",'Mapa final'!$P$64),"")</f>
        <v/>
      </c>
      <c r="AM32" s="14" t="str">
        <f>IF(AND('Mapa final'!$Z$65="Media",'Mapa final'!$AB$65="Catastrófico"),CONCATENATE("R7C",'Mapa final'!$P$65),"")</f>
        <v/>
      </c>
      <c r="AN32" s="40"/>
      <c r="AO32" s="487"/>
      <c r="AP32" s="488"/>
      <c r="AQ32" s="488"/>
      <c r="AR32" s="488"/>
      <c r="AS32" s="488"/>
      <c r="AT32" s="489"/>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row>
    <row r="33" spans="1:80" ht="15" customHeight="1" x14ac:dyDescent="0.25">
      <c r="A33" s="40"/>
      <c r="B33" s="359"/>
      <c r="C33" s="359"/>
      <c r="D33" s="360"/>
      <c r="E33" s="458"/>
      <c r="F33" s="457"/>
      <c r="G33" s="457"/>
      <c r="H33" s="457"/>
      <c r="I33" s="473"/>
      <c r="J33" s="24" t="str">
        <f>IF(AND('Mapa final'!$Z$66="Media",'Mapa final'!$AB$66="Leve"),CONCATENATE("R8C",'Mapa final'!$P$66),"")</f>
        <v/>
      </c>
      <c r="K33" s="25" t="str">
        <f>IF(AND('Mapa final'!$Z$67="Media",'Mapa final'!$AB$67="Leve"),CONCATENATE("R8C",'Mapa final'!$P$67),"")</f>
        <v/>
      </c>
      <c r="L33" s="25" t="str">
        <f>IF(AND('Mapa final'!$Z$68="Media",'Mapa final'!$AB$68="Leve"),CONCATENATE("R8C",'Mapa final'!$P$68),"")</f>
        <v/>
      </c>
      <c r="M33" s="25" t="str">
        <f>IF(AND('Mapa final'!$Z$69="Media",'Mapa final'!$AB$69="Leve"),CONCATENATE("R8C",'Mapa final'!$P$69),"")</f>
        <v/>
      </c>
      <c r="N33" s="25" t="str">
        <f>IF(AND('Mapa final'!$Z$70="Media",'Mapa final'!$AB$70="Leve"),CONCATENATE("R8C",'Mapa final'!$P$70),"")</f>
        <v/>
      </c>
      <c r="O33" s="26" t="str">
        <f>IF(AND('Mapa final'!$Z$71="Media",'Mapa final'!$AB$71="Leve"),CONCATENATE("R8C",'Mapa final'!$P$71),"")</f>
        <v/>
      </c>
      <c r="P33" s="24" t="str">
        <f>IF(AND('Mapa final'!$Z$66="Media",'Mapa final'!$AB$66="Menor"),CONCATENATE("R8C",'Mapa final'!$P$66),"")</f>
        <v/>
      </c>
      <c r="Q33" s="25" t="str">
        <f>IF(AND('Mapa final'!$Z$67="Media",'Mapa final'!$AB$67="Menor"),CONCATENATE("R8C",'Mapa final'!$P$67),"")</f>
        <v/>
      </c>
      <c r="R33" s="25" t="str">
        <f>IF(AND('Mapa final'!$Z$68="Media",'Mapa final'!$AB$68="Menor"),CONCATENATE("R8C",'Mapa final'!$P$68),"")</f>
        <v/>
      </c>
      <c r="S33" s="25" t="str">
        <f>IF(AND('Mapa final'!$Z$69="Media",'Mapa final'!$AB$69="Menor"),CONCATENATE("R8C",'Mapa final'!$P$69),"")</f>
        <v/>
      </c>
      <c r="T33" s="25" t="str">
        <f>IF(AND('Mapa final'!$Z$70="Media",'Mapa final'!$AB$70="Menor"),CONCATENATE("R8C",'Mapa final'!$P$70),"")</f>
        <v/>
      </c>
      <c r="U33" s="26" t="str">
        <f>IF(AND('Mapa final'!$Z$71="Media",'Mapa final'!$AB$71="Menor"),CONCATENATE("R8C",'Mapa final'!$P$71),"")</f>
        <v/>
      </c>
      <c r="V33" s="24" t="str">
        <f>IF(AND('Mapa final'!$Z$66="Media",'Mapa final'!$AB$66="Moderado"),CONCATENATE("R8C",'Mapa final'!$P$66),"")</f>
        <v/>
      </c>
      <c r="W33" s="25" t="str">
        <f>IF(AND('Mapa final'!$Z$67="Media",'Mapa final'!$AB$67="Moderado"),CONCATENATE("R8C",'Mapa final'!$P$67),"")</f>
        <v/>
      </c>
      <c r="X33" s="25" t="str">
        <f>IF(AND('Mapa final'!$Z$68="Media",'Mapa final'!$AB$68="Moderado"),CONCATENATE("R8C",'Mapa final'!$P$68),"")</f>
        <v/>
      </c>
      <c r="Y33" s="25" t="str">
        <f>IF(AND('Mapa final'!$Z$69="Media",'Mapa final'!$AB$69="Moderado"),CONCATENATE("R8C",'Mapa final'!$P$69),"")</f>
        <v/>
      </c>
      <c r="Z33" s="25" t="str">
        <f>IF(AND('Mapa final'!$Z$70="Media",'Mapa final'!$AB$70="Moderado"),CONCATENATE("R8C",'Mapa final'!$P$70),"")</f>
        <v/>
      </c>
      <c r="AA33" s="26" t="str">
        <f>IF(AND('Mapa final'!$Z$71="Media",'Mapa final'!$AB$71="Moderado"),CONCATENATE("R8C",'Mapa final'!$P$71),"")</f>
        <v/>
      </c>
      <c r="AB33" s="9" t="str">
        <f>IF(AND('Mapa final'!$Z$66="Media",'Mapa final'!$AB$66="Mayor"),CONCATENATE("R8C",'Mapa final'!$P$66),"")</f>
        <v/>
      </c>
      <c r="AC33" s="10" t="str">
        <f>IF(AND('Mapa final'!$Z$67="Media",'Mapa final'!$AB$67="Mayor"),CONCATENATE("R8C",'Mapa final'!$P$67),"")</f>
        <v/>
      </c>
      <c r="AD33" s="10" t="str">
        <f>IF(AND('Mapa final'!$Z$68="Media",'Mapa final'!$AB$68="Mayor"),CONCATENATE("R8C",'Mapa final'!$P$68),"")</f>
        <v/>
      </c>
      <c r="AE33" s="10" t="str">
        <f>IF(AND('Mapa final'!$Z$69="Media",'Mapa final'!$AB$69="Mayor"),CONCATENATE("R8C",'Mapa final'!$P$69),"")</f>
        <v/>
      </c>
      <c r="AF33" s="10" t="str">
        <f>IF(AND('Mapa final'!$Z$70="Media",'Mapa final'!$AB$70="Mayor"),CONCATENATE("R8C",'Mapa final'!$P$70),"")</f>
        <v/>
      </c>
      <c r="AG33" s="11" t="str">
        <f>IF(AND('Mapa final'!$Z$71="Media",'Mapa final'!$AB$71="Mayor"),CONCATENATE("R8C",'Mapa final'!$P$71),"")</f>
        <v/>
      </c>
      <c r="AH33" s="12" t="str">
        <f>IF(AND('Mapa final'!$Z$66="Media",'Mapa final'!$AB$66="Catastrófico"),CONCATENATE("R8C",'Mapa final'!$P$66),"")</f>
        <v/>
      </c>
      <c r="AI33" s="13" t="str">
        <f>IF(AND('Mapa final'!$Z$67="Media",'Mapa final'!$AB$67="Catastrófico"),CONCATENATE("R8C",'Mapa final'!$P$67),"")</f>
        <v/>
      </c>
      <c r="AJ33" s="13" t="str">
        <f>IF(AND('Mapa final'!$Z$68="Media",'Mapa final'!$AB$68="Catastrófico"),CONCATENATE("R8C",'Mapa final'!$P$68),"")</f>
        <v/>
      </c>
      <c r="AK33" s="13" t="str">
        <f>IF(AND('Mapa final'!$Z$69="Media",'Mapa final'!$AB$69="Catastrófico"),CONCATENATE("R8C",'Mapa final'!$P$69),"")</f>
        <v/>
      </c>
      <c r="AL33" s="13" t="str">
        <f>IF(AND('Mapa final'!$Z$70="Media",'Mapa final'!$AB$70="Catastrófico"),CONCATENATE("R8C",'Mapa final'!$P$70),"")</f>
        <v/>
      </c>
      <c r="AM33" s="14" t="str">
        <f>IF(AND('Mapa final'!$Z$71="Media",'Mapa final'!$AB$71="Catastrófico"),CONCATENATE("R8C",'Mapa final'!$P$71),"")</f>
        <v/>
      </c>
      <c r="AN33" s="40"/>
      <c r="AO33" s="487"/>
      <c r="AP33" s="488"/>
      <c r="AQ33" s="488"/>
      <c r="AR33" s="488"/>
      <c r="AS33" s="488"/>
      <c r="AT33" s="489"/>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row>
    <row r="34" spans="1:80" ht="15" customHeight="1" x14ac:dyDescent="0.25">
      <c r="A34" s="40"/>
      <c r="B34" s="359"/>
      <c r="C34" s="359"/>
      <c r="D34" s="360"/>
      <c r="E34" s="458"/>
      <c r="F34" s="457"/>
      <c r="G34" s="457"/>
      <c r="H34" s="457"/>
      <c r="I34" s="473"/>
      <c r="J34" s="24" t="str">
        <f>IF(AND('Mapa final'!$Z$72="Media",'Mapa final'!$AB$72="Leve"),CONCATENATE("R9C",'Mapa final'!$P$72),"")</f>
        <v/>
      </c>
      <c r="K34" s="25" t="str">
        <f>IF(AND('Mapa final'!$Z$73="Media",'Mapa final'!$AB$73="Leve"),CONCATENATE("R9C",'Mapa final'!$P$73),"")</f>
        <v/>
      </c>
      <c r="L34" s="25" t="str">
        <f>IF(AND('Mapa final'!$Z$74="Media",'Mapa final'!$AB$74="Leve"),CONCATENATE("R9C",'Mapa final'!$P$74),"")</f>
        <v/>
      </c>
      <c r="M34" s="25" t="str">
        <f>IF(AND('Mapa final'!$Z$75="Media",'Mapa final'!$AB$75="Leve"),CONCATENATE("R9C",'Mapa final'!$P$75),"")</f>
        <v/>
      </c>
      <c r="N34" s="25" t="str">
        <f>IF(AND('Mapa final'!$Z$76="Media",'Mapa final'!$AB$76="Leve"),CONCATENATE("R9C",'Mapa final'!$P$76),"")</f>
        <v/>
      </c>
      <c r="O34" s="26" t="str">
        <f>IF(AND('Mapa final'!$Z$77="Media",'Mapa final'!$AB$77="Leve"),CONCATENATE("R9C",'Mapa final'!$P$77),"")</f>
        <v/>
      </c>
      <c r="P34" s="24" t="str">
        <f>IF(AND('Mapa final'!$Z$72="Media",'Mapa final'!$AB$72="Menor"),CONCATENATE("R9C",'Mapa final'!$P$72),"")</f>
        <v/>
      </c>
      <c r="Q34" s="25" t="str">
        <f>IF(AND('Mapa final'!$Z$73="Media",'Mapa final'!$AB$73="Menor"),CONCATENATE("R9C",'Mapa final'!$P$73),"")</f>
        <v/>
      </c>
      <c r="R34" s="25" t="str">
        <f>IF(AND('Mapa final'!$Z$74="Media",'Mapa final'!$AB$74="Menor"),CONCATENATE("R9C",'Mapa final'!$P$74),"")</f>
        <v/>
      </c>
      <c r="S34" s="25" t="str">
        <f>IF(AND('Mapa final'!$Z$75="Media",'Mapa final'!$AB$75="Menor"),CONCATENATE("R9C",'Mapa final'!$P$75),"")</f>
        <v/>
      </c>
      <c r="T34" s="25" t="str">
        <f>IF(AND('Mapa final'!$Z$76="Media",'Mapa final'!$AB$76="Menor"),CONCATENATE("R9C",'Mapa final'!$P$76),"")</f>
        <v/>
      </c>
      <c r="U34" s="26" t="str">
        <f>IF(AND('Mapa final'!$Z$77="Media",'Mapa final'!$AB$77="Menor"),CONCATENATE("R9C",'Mapa final'!$P$77),"")</f>
        <v/>
      </c>
      <c r="V34" s="24" t="str">
        <f>IF(AND('Mapa final'!$Z$72="Media",'Mapa final'!$AB$72="Moderado"),CONCATENATE("R9C",'Mapa final'!$P$72),"")</f>
        <v/>
      </c>
      <c r="W34" s="25" t="str">
        <f>IF(AND('Mapa final'!$Z$73="Media",'Mapa final'!$AB$73="Moderado"),CONCATENATE("R9C",'Mapa final'!$P$73),"")</f>
        <v/>
      </c>
      <c r="X34" s="25" t="str">
        <f>IF(AND('Mapa final'!$Z$74="Media",'Mapa final'!$AB$74="Moderado"),CONCATENATE("R9C",'Mapa final'!$P$74),"")</f>
        <v/>
      </c>
      <c r="Y34" s="25" t="str">
        <f>IF(AND('Mapa final'!$Z$75="Media",'Mapa final'!$AB$75="Moderado"),CONCATENATE("R9C",'Mapa final'!$P$75),"")</f>
        <v/>
      </c>
      <c r="Z34" s="25" t="str">
        <f>IF(AND('Mapa final'!$Z$76="Media",'Mapa final'!$AB$76="Moderado"),CONCATENATE("R9C",'Mapa final'!$P$76),"")</f>
        <v/>
      </c>
      <c r="AA34" s="26" t="str">
        <f>IF(AND('Mapa final'!$Z$77="Media",'Mapa final'!$AB$77="Moderado"),CONCATENATE("R9C",'Mapa final'!$P$77),"")</f>
        <v/>
      </c>
      <c r="AB34" s="9" t="str">
        <f>IF(AND('Mapa final'!$Z$72="Media",'Mapa final'!$AB$72="Mayor"),CONCATENATE("R9C",'Mapa final'!$P$72),"")</f>
        <v/>
      </c>
      <c r="AC34" s="10" t="str">
        <f>IF(AND('Mapa final'!$Z$73="Media",'Mapa final'!$AB$73="Mayor"),CONCATENATE("R9C",'Mapa final'!$P$73),"")</f>
        <v/>
      </c>
      <c r="AD34" s="10" t="str">
        <f>IF(AND('Mapa final'!$Z$74="Media",'Mapa final'!$AB$74="Mayor"),CONCATENATE("R9C",'Mapa final'!$P$74),"")</f>
        <v/>
      </c>
      <c r="AE34" s="10" t="str">
        <f>IF(AND('Mapa final'!$Z$75="Media",'Mapa final'!$AB$75="Mayor"),CONCATENATE("R9C",'Mapa final'!$P$75),"")</f>
        <v/>
      </c>
      <c r="AF34" s="10" t="str">
        <f>IF(AND('Mapa final'!$Z$76="Media",'Mapa final'!$AB$76="Mayor"),CONCATENATE("R9C",'Mapa final'!$P$76),"")</f>
        <v/>
      </c>
      <c r="AG34" s="11" t="str">
        <f>IF(AND('Mapa final'!$Z$77="Media",'Mapa final'!$AB$77="Mayor"),CONCATENATE("R9C",'Mapa final'!$P$77),"")</f>
        <v/>
      </c>
      <c r="AH34" s="12" t="str">
        <f>IF(AND('Mapa final'!$Z$72="Media",'Mapa final'!$AB$72="Catastrófico"),CONCATENATE("R9C",'Mapa final'!$P$72),"")</f>
        <v/>
      </c>
      <c r="AI34" s="13" t="str">
        <f>IF(AND('Mapa final'!$Z$73="Media",'Mapa final'!$AB$73="Catastrófico"),CONCATENATE("R9C",'Mapa final'!$P$73),"")</f>
        <v/>
      </c>
      <c r="AJ34" s="13" t="str">
        <f>IF(AND('Mapa final'!$Z$74="Media",'Mapa final'!$AB$74="Catastrófico"),CONCATENATE("R9C",'Mapa final'!$P$74),"")</f>
        <v/>
      </c>
      <c r="AK34" s="13" t="str">
        <f>IF(AND('Mapa final'!$Z$75="Media",'Mapa final'!$AB$75="Catastrófico"),CONCATENATE("R9C",'Mapa final'!$P$75),"")</f>
        <v/>
      </c>
      <c r="AL34" s="13" t="str">
        <f>IF(AND('Mapa final'!$Z$76="Media",'Mapa final'!$AB$76="Catastrófico"),CONCATENATE("R9C",'Mapa final'!$P$76),"")</f>
        <v/>
      </c>
      <c r="AM34" s="14" t="str">
        <f>IF(AND('Mapa final'!$Z$77="Media",'Mapa final'!$AB$77="Catastrófico"),CONCATENATE("R9C",'Mapa final'!$P$77),"")</f>
        <v/>
      </c>
      <c r="AN34" s="40"/>
      <c r="AO34" s="487"/>
      <c r="AP34" s="488"/>
      <c r="AQ34" s="488"/>
      <c r="AR34" s="488"/>
      <c r="AS34" s="488"/>
      <c r="AT34" s="489"/>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row>
    <row r="35" spans="1:80" ht="15.75" customHeight="1" thickBot="1" x14ac:dyDescent="0.3">
      <c r="A35" s="40"/>
      <c r="B35" s="359"/>
      <c r="C35" s="359"/>
      <c r="D35" s="360"/>
      <c r="E35" s="459"/>
      <c r="F35" s="460"/>
      <c r="G35" s="460"/>
      <c r="H35" s="460"/>
      <c r="I35" s="474"/>
      <c r="J35" s="24" t="str">
        <f>IF(AND('Mapa final'!$Z$78="Media",'Mapa final'!$AB$78="Leve"),CONCATENATE("R10C",'Mapa final'!$P$78),"")</f>
        <v/>
      </c>
      <c r="K35" s="25" t="str">
        <f>IF(AND('Mapa final'!$Z$79="Media",'Mapa final'!$AB$79="Leve"),CONCATENATE("R10C",'Mapa final'!$P$79),"")</f>
        <v/>
      </c>
      <c r="L35" s="25" t="str">
        <f>IF(AND('Mapa final'!$Z$80="Media",'Mapa final'!$AB$80="Leve"),CONCATENATE("R10C",'Mapa final'!$P$80),"")</f>
        <v/>
      </c>
      <c r="M35" s="25" t="str">
        <f>IF(AND('Mapa final'!$Z$81="Media",'Mapa final'!$AB$81="Leve"),CONCATENATE("R10C",'Mapa final'!$P$81),"")</f>
        <v/>
      </c>
      <c r="N35" s="25" t="str">
        <f>IF(AND('Mapa final'!$Z$82="Media",'Mapa final'!$AB$82="Leve"),CONCATENATE("R10C",'Mapa final'!$P$82),"")</f>
        <v/>
      </c>
      <c r="O35" s="26" t="str">
        <f>IF(AND('Mapa final'!$Z$83="Media",'Mapa final'!$AB$83="Leve"),CONCATENATE("R10C",'Mapa final'!$P$83),"")</f>
        <v/>
      </c>
      <c r="P35" s="24" t="str">
        <f>IF(AND('Mapa final'!$Z$78="Media",'Mapa final'!$AB$78="Menor"),CONCATENATE("R10C",'Mapa final'!$P$78),"")</f>
        <v/>
      </c>
      <c r="Q35" s="25" t="str">
        <f>IF(AND('Mapa final'!$Z$79="Media",'Mapa final'!$AB$79="Menor"),CONCATENATE("R10C",'Mapa final'!$P$79),"")</f>
        <v/>
      </c>
      <c r="R35" s="25" t="str">
        <f>IF(AND('Mapa final'!$Z$80="Media",'Mapa final'!$AB$80="Menor"),CONCATENATE("R10C",'Mapa final'!$P$80),"")</f>
        <v/>
      </c>
      <c r="S35" s="25" t="str">
        <f>IF(AND('Mapa final'!$Z$81="Media",'Mapa final'!$AB$81="Menor"),CONCATENATE("R10C",'Mapa final'!$P$81),"")</f>
        <v/>
      </c>
      <c r="T35" s="25" t="str">
        <f>IF(AND('Mapa final'!$Z$82="Media",'Mapa final'!$AB$82="Menor"),CONCATENATE("R10C",'Mapa final'!$P$82),"")</f>
        <v/>
      </c>
      <c r="U35" s="26" t="str">
        <f>IF(AND('Mapa final'!$Z$83="Media",'Mapa final'!$AB$83="Menor"),CONCATENATE("R10C",'Mapa final'!$P$83),"")</f>
        <v/>
      </c>
      <c r="V35" s="24" t="str">
        <f>IF(AND('Mapa final'!$Z$78="Media",'Mapa final'!$AB$78="Moderado"),CONCATENATE("R10C",'Mapa final'!$P$78),"")</f>
        <v/>
      </c>
      <c r="W35" s="25" t="str">
        <f>IF(AND('Mapa final'!$Z$79="Media",'Mapa final'!$AB$79="Moderado"),CONCATENATE("R10C",'Mapa final'!$P$79),"")</f>
        <v/>
      </c>
      <c r="X35" s="25" t="str">
        <f>IF(AND('Mapa final'!$Z$80="Media",'Mapa final'!$AB$80="Moderado"),CONCATENATE("R10C",'Mapa final'!$P$80),"")</f>
        <v/>
      </c>
      <c r="Y35" s="25" t="str">
        <f>IF(AND('Mapa final'!$Z$81="Media",'Mapa final'!$AB$81="Moderado"),CONCATENATE("R10C",'Mapa final'!$P$81),"")</f>
        <v/>
      </c>
      <c r="Z35" s="25" t="str">
        <f>IF(AND('Mapa final'!$Z$82="Media",'Mapa final'!$AB$82="Moderado"),CONCATENATE("R10C",'Mapa final'!$P$82),"")</f>
        <v/>
      </c>
      <c r="AA35" s="26" t="str">
        <f>IF(AND('Mapa final'!$Z$83="Media",'Mapa final'!$AB$83="Moderado"),CONCATENATE("R10C",'Mapa final'!$P$83),"")</f>
        <v/>
      </c>
      <c r="AB35" s="15" t="str">
        <f>IF(AND('Mapa final'!$Z$78="Media",'Mapa final'!$AB$78="Mayor"),CONCATENATE("R10C",'Mapa final'!$P$78),"")</f>
        <v/>
      </c>
      <c r="AC35" s="16" t="str">
        <f>IF(AND('Mapa final'!$Z$79="Media",'Mapa final'!$AB$79="Mayor"),CONCATENATE("R10C",'Mapa final'!$P$79),"")</f>
        <v/>
      </c>
      <c r="AD35" s="16" t="str">
        <f>IF(AND('Mapa final'!$Z$80="Media",'Mapa final'!$AB$80="Mayor"),CONCATENATE("R10C",'Mapa final'!$P$80),"")</f>
        <v/>
      </c>
      <c r="AE35" s="16" t="str">
        <f>IF(AND('Mapa final'!$Z$81="Media",'Mapa final'!$AB$81="Mayor"),CONCATENATE("R10C",'Mapa final'!$P$81),"")</f>
        <v/>
      </c>
      <c r="AF35" s="16" t="str">
        <f>IF(AND('Mapa final'!$Z$82="Media",'Mapa final'!$AB$82="Mayor"),CONCATENATE("R10C",'Mapa final'!$P$82),"")</f>
        <v/>
      </c>
      <c r="AG35" s="17" t="str">
        <f>IF(AND('Mapa final'!$Z$83="Media",'Mapa final'!$AB$83="Mayor"),CONCATENATE("R10C",'Mapa final'!$P$83),"")</f>
        <v/>
      </c>
      <c r="AH35" s="18" t="str">
        <f>IF(AND('Mapa final'!$Z$78="Media",'Mapa final'!$AB$78="Catastrófico"),CONCATENATE("R10C",'Mapa final'!$P$78),"")</f>
        <v/>
      </c>
      <c r="AI35" s="19" t="str">
        <f>IF(AND('Mapa final'!$Z$79="Media",'Mapa final'!$AB$79="Catastrófico"),CONCATENATE("R10C",'Mapa final'!$P$79),"")</f>
        <v/>
      </c>
      <c r="AJ35" s="19" t="str">
        <f>IF(AND('Mapa final'!$Z$80="Media",'Mapa final'!$AB$80="Catastrófico"),CONCATENATE("R10C",'Mapa final'!$P$80),"")</f>
        <v/>
      </c>
      <c r="AK35" s="19" t="str">
        <f>IF(AND('Mapa final'!$Z$81="Media",'Mapa final'!$AB$81="Catastrófico"),CONCATENATE("R10C",'Mapa final'!$P$81),"")</f>
        <v/>
      </c>
      <c r="AL35" s="19" t="str">
        <f>IF(AND('Mapa final'!$Z$82="Media",'Mapa final'!$AB$82="Catastrófico"),CONCATENATE("R10C",'Mapa final'!$P$82),"")</f>
        <v/>
      </c>
      <c r="AM35" s="20" t="str">
        <f>IF(AND('Mapa final'!$Z$83="Media",'Mapa final'!$AB$83="Catastrófico"),CONCATENATE("R10C",'Mapa final'!$P$83),"")</f>
        <v/>
      </c>
      <c r="AN35" s="40"/>
      <c r="AO35" s="490"/>
      <c r="AP35" s="491"/>
      <c r="AQ35" s="491"/>
      <c r="AR35" s="491"/>
      <c r="AS35" s="491"/>
      <c r="AT35" s="492"/>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row>
    <row r="36" spans="1:80" ht="15" customHeight="1" x14ac:dyDescent="0.25">
      <c r="A36" s="40"/>
      <c r="B36" s="359"/>
      <c r="C36" s="359"/>
      <c r="D36" s="360"/>
      <c r="E36" s="454" t="s">
        <v>644</v>
      </c>
      <c r="F36" s="455"/>
      <c r="G36" s="455"/>
      <c r="H36" s="455"/>
      <c r="I36" s="455"/>
      <c r="J36" s="30" t="str">
        <f>IF(AND('Mapa final'!$Z$20="Baja",'Mapa final'!$AB$20="Leve"),CONCATENATE("R1C",'Mapa final'!$P$20),"")</f>
        <v/>
      </c>
      <c r="K36" s="31" t="str">
        <f>IF(AND('Mapa final'!$Z$21="Baja",'Mapa final'!$AB$21="Leve"),CONCATENATE("R1C",'Mapa final'!$P$21),"")</f>
        <v/>
      </c>
      <c r="L36" s="31" t="str">
        <f>IF(AND('Mapa final'!$Z$22="Baja",'Mapa final'!$AB$22="Leve"),CONCATENATE("R1C",'Mapa final'!$P$22),"")</f>
        <v/>
      </c>
      <c r="M36" s="31" t="str">
        <f>IF(AND('Mapa final'!$Z$23="Baja",'Mapa final'!$AB$23="Leve"),CONCATENATE("R1C",'Mapa final'!$P$23),"")</f>
        <v/>
      </c>
      <c r="N36" s="31" t="str">
        <f>IF(AND('Mapa final'!$Z$24="Baja",'Mapa final'!$AB$24="Leve"),CONCATENATE("R1C",'Mapa final'!$P$24),"")</f>
        <v/>
      </c>
      <c r="O36" s="32" t="str">
        <f>IF(AND('Mapa final'!$Z$25="Baja",'Mapa final'!$AB$25="Leve"),CONCATENATE("R1C",'Mapa final'!$P$25),"")</f>
        <v/>
      </c>
      <c r="P36" s="21" t="str">
        <f>IF(AND('Mapa final'!$Z$20="Baja",'Mapa final'!$AB$20="Menor"),CONCATENATE("R1C",'Mapa final'!$P$20),"")</f>
        <v/>
      </c>
      <c r="Q36" s="22" t="str">
        <f>IF(AND('Mapa final'!$Z$21="Baja",'Mapa final'!$AB$21="Menor"),CONCATENATE("R1C",'Mapa final'!$P$21),"")</f>
        <v/>
      </c>
      <c r="R36" s="22" t="str">
        <f>IF(AND('Mapa final'!$Z$22="Baja",'Mapa final'!$AB$22="Menor"),CONCATENATE("R1C",'Mapa final'!$P$22),"")</f>
        <v/>
      </c>
      <c r="S36" s="22" t="str">
        <f>IF(AND('Mapa final'!$Z$23="Baja",'Mapa final'!$AB$23="Menor"),CONCATENATE("R1C",'Mapa final'!$P$23),"")</f>
        <v/>
      </c>
      <c r="T36" s="22" t="str">
        <f>IF(AND('Mapa final'!$Z$24="Baja",'Mapa final'!$AB$24="Menor"),CONCATENATE("R1C",'Mapa final'!$P$24),"")</f>
        <v/>
      </c>
      <c r="U36" s="23" t="str">
        <f>IF(AND('Mapa final'!$Z$25="Baja",'Mapa final'!$AB$25="Menor"),CONCATENATE("R1C",'Mapa final'!$P$25),"")</f>
        <v/>
      </c>
      <c r="V36" s="21" t="str">
        <f>IF(AND('Mapa final'!$Z$20="Baja",'Mapa final'!$AB$20="Moderado"),CONCATENATE("R1C",'Mapa final'!$P$20),"")</f>
        <v/>
      </c>
      <c r="W36" s="22" t="str">
        <f>IF(AND('Mapa final'!$Z$21="Baja",'Mapa final'!$AB$21="Moderado"),CONCATENATE("R1C",'Mapa final'!$P$21),"")</f>
        <v/>
      </c>
      <c r="X36" s="22" t="str">
        <f>IF(AND('Mapa final'!$Z$22="Baja",'Mapa final'!$AB$22="Moderado"),CONCATENATE("R1C",'Mapa final'!$P$22),"")</f>
        <v/>
      </c>
      <c r="Y36" s="22" t="str">
        <f>IF(AND('Mapa final'!$Z$23="Baja",'Mapa final'!$AB$23="Moderado"),CONCATENATE("R1C",'Mapa final'!$P$23),"")</f>
        <v/>
      </c>
      <c r="Z36" s="22" t="str">
        <f>IF(AND('Mapa final'!$Z$24="Baja",'Mapa final'!$AB$24="Moderado"),CONCATENATE("R1C",'Mapa final'!$P$24),"")</f>
        <v/>
      </c>
      <c r="AA36" s="23" t="str">
        <f>IF(AND('Mapa final'!$Z$25="Baja",'Mapa final'!$AB$25="Moderado"),CONCATENATE("R1C",'Mapa final'!$P$25),"")</f>
        <v/>
      </c>
      <c r="AB36" s="3" t="str">
        <f>IF(AND('Mapa final'!$Z$20="Baja",'Mapa final'!$AB$20="Mayor"),CONCATENATE("R1C",'Mapa final'!$P$20),"")</f>
        <v/>
      </c>
      <c r="AC36" s="4" t="str">
        <f>IF(AND('Mapa final'!$Z$21="Baja",'Mapa final'!$AB$21="Mayor"),CONCATENATE("R1C",'Mapa final'!$P$21),"")</f>
        <v/>
      </c>
      <c r="AD36" s="4" t="str">
        <f>IF(AND('Mapa final'!$Z$22="Baja",'Mapa final'!$AB$22="Mayor"),CONCATENATE("R1C",'Mapa final'!$P$22),"")</f>
        <v/>
      </c>
      <c r="AE36" s="4" t="str">
        <f>IF(AND('Mapa final'!$Z$23="Baja",'Mapa final'!$AB$23="Mayor"),CONCATENATE("R1C",'Mapa final'!$P$23),"")</f>
        <v/>
      </c>
      <c r="AF36" s="4" t="str">
        <f>IF(AND('Mapa final'!$Z$24="Baja",'Mapa final'!$AB$24="Mayor"),CONCATENATE("R1C",'Mapa final'!$P$24),"")</f>
        <v/>
      </c>
      <c r="AG36" s="5" t="str">
        <f>IF(AND('Mapa final'!$Z$25="Baja",'Mapa final'!$AB$25="Mayor"),CONCATENATE("R1C",'Mapa final'!$P$25),"")</f>
        <v/>
      </c>
      <c r="AH36" s="6" t="str">
        <f>IF(AND('Mapa final'!$Z$20="Baja",'Mapa final'!$AB$20="Catastrófico"),CONCATENATE("R1C",'Mapa final'!$P$20),"")</f>
        <v/>
      </c>
      <c r="AI36" s="7" t="str">
        <f>IF(AND('Mapa final'!$Z$21="Baja",'Mapa final'!$AB$21="Catastrófico"),CONCATENATE("R1C",'Mapa final'!$P$21),"")</f>
        <v/>
      </c>
      <c r="AJ36" s="7" t="str">
        <f>IF(AND('Mapa final'!$Z$22="Baja",'Mapa final'!$AB$22="Catastrófico"),CONCATENATE("R1C",'Mapa final'!$P$22),"")</f>
        <v/>
      </c>
      <c r="AK36" s="7" t="str">
        <f>IF(AND('Mapa final'!$Z$23="Baja",'Mapa final'!$AB$23="Catastrófico"),CONCATENATE("R1C",'Mapa final'!$P$23),"")</f>
        <v/>
      </c>
      <c r="AL36" s="7" t="str">
        <f>IF(AND('Mapa final'!$Z$24="Baja",'Mapa final'!$AB$24="Catastrófico"),CONCATENATE("R1C",'Mapa final'!$P$24),"")</f>
        <v/>
      </c>
      <c r="AM36" s="8" t="str">
        <f>IF(AND('Mapa final'!$Z$25="Baja",'Mapa final'!$AB$25="Catastrófico"),CONCATENATE("R1C",'Mapa final'!$P$25),"")</f>
        <v/>
      </c>
      <c r="AN36" s="40"/>
      <c r="AO36" s="475" t="s">
        <v>645</v>
      </c>
      <c r="AP36" s="476"/>
      <c r="AQ36" s="476"/>
      <c r="AR36" s="476"/>
      <c r="AS36" s="476"/>
      <c r="AT36" s="477"/>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row>
    <row r="37" spans="1:80" ht="15" customHeight="1" x14ac:dyDescent="0.25">
      <c r="A37" s="40"/>
      <c r="B37" s="359"/>
      <c r="C37" s="359"/>
      <c r="D37" s="360"/>
      <c r="E37" s="456"/>
      <c r="F37" s="457"/>
      <c r="G37" s="457"/>
      <c r="H37" s="457"/>
      <c r="I37" s="457"/>
      <c r="J37" s="33" t="str">
        <f>IF(AND('Mapa final'!$Z$32="Baja",'Mapa final'!$AB$32="Leve"),CONCATENATE("R2C",'Mapa final'!$P$32),"")</f>
        <v/>
      </c>
      <c r="K37" s="34" t="str">
        <f>IF(AND('Mapa final'!$Z$33="Baja",'Mapa final'!$AB$33="Leve"),CONCATENATE("R2C",'Mapa final'!$P$33),"")</f>
        <v/>
      </c>
      <c r="L37" s="34" t="str">
        <f>IF(AND('Mapa final'!$Z$34="Baja",'Mapa final'!$AB$34="Leve"),CONCATENATE("R2C",'Mapa final'!$P$34),"")</f>
        <v/>
      </c>
      <c r="M37" s="34" t="str">
        <f>IF(AND('Mapa final'!$Z$35="Baja",'Mapa final'!$AB$35="Leve"),CONCATENATE("R2C",'Mapa final'!$P$35),"")</f>
        <v/>
      </c>
      <c r="N37" s="34" t="e">
        <f>IF(AND('Mapa final'!#REF!="Baja",'Mapa final'!#REF!="Leve"),CONCATENATE("R2C",'Mapa final'!#REF!),"")</f>
        <v>#REF!</v>
      </c>
      <c r="O37" s="35" t="e">
        <f>IF(AND('Mapa final'!#REF!="Baja",'Mapa final'!#REF!="Leve"),CONCATENATE("R2C",'Mapa final'!#REF!),"")</f>
        <v>#REF!</v>
      </c>
      <c r="P37" s="24" t="str">
        <f>IF(AND('Mapa final'!$Z$32="Baja",'Mapa final'!$AB$32="Menor"),CONCATENATE("R2C",'Mapa final'!$P$32),"")</f>
        <v/>
      </c>
      <c r="Q37" s="25" t="str">
        <f>IF(AND('Mapa final'!$Z$33="Baja",'Mapa final'!$AB$33="Menor"),CONCATENATE("R2C",'Mapa final'!$P$33),"")</f>
        <v/>
      </c>
      <c r="R37" s="25" t="str">
        <f>IF(AND('Mapa final'!$Z$34="Baja",'Mapa final'!$AB$34="Menor"),CONCATENATE("R2C",'Mapa final'!$P$34),"")</f>
        <v/>
      </c>
      <c r="S37" s="25" t="str">
        <f>IF(AND('Mapa final'!$Z$35="Baja",'Mapa final'!$AB$35="Menor"),CONCATENATE("R2C",'Mapa final'!$P$35),"")</f>
        <v/>
      </c>
      <c r="T37" s="25" t="e">
        <f>IF(AND('Mapa final'!#REF!="Baja",'Mapa final'!#REF!="Menor"),CONCATENATE("R2C",'Mapa final'!#REF!),"")</f>
        <v>#REF!</v>
      </c>
      <c r="U37" s="26" t="e">
        <f>IF(AND('Mapa final'!#REF!="Baja",'Mapa final'!#REF!="Menor"),CONCATENATE("R2C",'Mapa final'!#REF!),"")</f>
        <v>#REF!</v>
      </c>
      <c r="V37" s="24" t="str">
        <f>IF(AND('Mapa final'!$Z$32="Baja",'Mapa final'!$AB$32="Moderado"),CONCATENATE("R2C",'Mapa final'!$P$32),"")</f>
        <v/>
      </c>
      <c r="W37" s="25" t="str">
        <f>IF(AND('Mapa final'!$Z$33="Baja",'Mapa final'!$AB$33="Moderado"),CONCATENATE("R2C",'Mapa final'!$P$33),"")</f>
        <v/>
      </c>
      <c r="X37" s="25" t="str">
        <f>IF(AND('Mapa final'!$Z$34="Baja",'Mapa final'!$AB$34="Moderado"),CONCATENATE("R2C",'Mapa final'!$P$34),"")</f>
        <v/>
      </c>
      <c r="Y37" s="25" t="str">
        <f>IF(AND('Mapa final'!$Z$35="Baja",'Mapa final'!$AB$35="Moderado"),CONCATENATE("R2C",'Mapa final'!$P$35),"")</f>
        <v/>
      </c>
      <c r="Z37" s="25" t="e">
        <f>IF(AND('Mapa final'!#REF!="Baja",'Mapa final'!#REF!="Moderado"),CONCATENATE("R2C",'Mapa final'!#REF!),"")</f>
        <v>#REF!</v>
      </c>
      <c r="AA37" s="26" t="e">
        <f>IF(AND('Mapa final'!#REF!="Baja",'Mapa final'!#REF!="Moderado"),CONCATENATE("R2C",'Mapa final'!#REF!),"")</f>
        <v>#REF!</v>
      </c>
      <c r="AB37" s="9" t="str">
        <f>IF(AND('Mapa final'!$Z$32="Baja",'Mapa final'!$AB$32="Mayor"),CONCATENATE("R2C",'Mapa final'!$P$32),"")</f>
        <v/>
      </c>
      <c r="AC37" s="10" t="str">
        <f>IF(AND('Mapa final'!$Z$33="Baja",'Mapa final'!$AB$33="Mayor"),CONCATENATE("R2C",'Mapa final'!$P$33),"")</f>
        <v/>
      </c>
      <c r="AD37" s="10" t="str">
        <f>IF(AND('Mapa final'!$Z$34="Baja",'Mapa final'!$AB$34="Mayor"),CONCATENATE("R2C",'Mapa final'!$P$34),"")</f>
        <v/>
      </c>
      <c r="AE37" s="10" t="str">
        <f>IF(AND('Mapa final'!$Z$35="Baja",'Mapa final'!$AB$35="Mayor"),CONCATENATE("R2C",'Mapa final'!$P$35),"")</f>
        <v/>
      </c>
      <c r="AF37" s="10" t="e">
        <f>IF(AND('Mapa final'!#REF!="Baja",'Mapa final'!#REF!="Mayor"),CONCATENATE("R2C",'Mapa final'!#REF!),"")</f>
        <v>#REF!</v>
      </c>
      <c r="AG37" s="11" t="e">
        <f>IF(AND('Mapa final'!#REF!="Baja",'Mapa final'!#REF!="Mayor"),CONCATENATE("R2C",'Mapa final'!#REF!),"")</f>
        <v>#REF!</v>
      </c>
      <c r="AH37" s="12" t="str">
        <f>IF(AND('Mapa final'!$Z$32="Baja",'Mapa final'!$AB$32="Catastrófico"),CONCATENATE("R2C",'Mapa final'!$P$32),"")</f>
        <v/>
      </c>
      <c r="AI37" s="13" t="str">
        <f>IF(AND('Mapa final'!$Z$33="Baja",'Mapa final'!$AB$33="Catastrófico"),CONCATENATE("R2C",'Mapa final'!$P$33),"")</f>
        <v/>
      </c>
      <c r="AJ37" s="13" t="str">
        <f>IF(AND('Mapa final'!$Z$34="Baja",'Mapa final'!$AB$34="Catastrófico"),CONCATENATE("R2C",'Mapa final'!$P$34),"")</f>
        <v/>
      </c>
      <c r="AK37" s="13" t="str">
        <f>IF(AND('Mapa final'!$Z$35="Baja",'Mapa final'!$AB$35="Catastrófico"),CONCATENATE("R2C",'Mapa final'!$P$35),"")</f>
        <v/>
      </c>
      <c r="AL37" s="13" t="e">
        <f>IF(AND('Mapa final'!#REF!="Baja",'Mapa final'!#REF!="Catastrófico"),CONCATENATE("R2C",'Mapa final'!#REF!),"")</f>
        <v>#REF!</v>
      </c>
      <c r="AM37" s="14" t="e">
        <f>IF(AND('Mapa final'!#REF!="Baja",'Mapa final'!#REF!="Catastrófico"),CONCATENATE("R2C",'Mapa final'!#REF!),"")</f>
        <v>#REF!</v>
      </c>
      <c r="AN37" s="40"/>
      <c r="AO37" s="478"/>
      <c r="AP37" s="479"/>
      <c r="AQ37" s="479"/>
      <c r="AR37" s="479"/>
      <c r="AS37" s="479"/>
      <c r="AT37" s="48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row>
    <row r="38" spans="1:80" ht="15" customHeight="1" x14ac:dyDescent="0.25">
      <c r="A38" s="40"/>
      <c r="B38" s="359"/>
      <c r="C38" s="359"/>
      <c r="D38" s="360"/>
      <c r="E38" s="458"/>
      <c r="F38" s="457"/>
      <c r="G38" s="457"/>
      <c r="H38" s="457"/>
      <c r="I38" s="457"/>
      <c r="J38" s="33" t="str">
        <f>IF(AND('Mapa final'!$Z$36="Baja",'Mapa final'!$AB$36="Leve"),CONCATENATE("R3C",'Mapa final'!$P$36),"")</f>
        <v/>
      </c>
      <c r="K38" s="34" t="str">
        <f>IF(AND('Mapa final'!$Z$37="Baja",'Mapa final'!$AB$37="Leve"),CONCATENATE("R3C",'Mapa final'!$P$37),"")</f>
        <v/>
      </c>
      <c r="L38" s="34" t="str">
        <f>IF(AND('Mapa final'!$Z$38="Baja",'Mapa final'!$AB$38="Leve"),CONCATENATE("R3C",'Mapa final'!$P$38),"")</f>
        <v/>
      </c>
      <c r="M38" s="34" t="str">
        <f>IF(AND('Mapa final'!$Z$39="Baja",'Mapa final'!$AB$39="Leve"),CONCATENATE("R3C",'Mapa final'!$P$39),"")</f>
        <v/>
      </c>
      <c r="N38" s="34" t="str">
        <f>IF(AND('Mapa final'!$Z$40="Baja",'Mapa final'!$AB$40="Leve"),CONCATENATE("R3C",'Mapa final'!$P$40),"")</f>
        <v/>
      </c>
      <c r="O38" s="35" t="str">
        <f>IF(AND('Mapa final'!$Z$41="Baja",'Mapa final'!$AB$41="Leve"),CONCATENATE("R3C",'Mapa final'!$P$41),"")</f>
        <v/>
      </c>
      <c r="P38" s="24" t="str">
        <f>IF(AND('Mapa final'!$Z$36="Baja",'Mapa final'!$AB$36="Menor"),CONCATENATE("R3C",'Mapa final'!$P$36),"")</f>
        <v/>
      </c>
      <c r="Q38" s="25" t="str">
        <f>IF(AND('Mapa final'!$Z$37="Baja",'Mapa final'!$AB$37="Menor"),CONCATENATE("R3C",'Mapa final'!$P$37),"")</f>
        <v/>
      </c>
      <c r="R38" s="25" t="str">
        <f>IF(AND('Mapa final'!$Z$38="Baja",'Mapa final'!$AB$38="Menor"),CONCATENATE("R3C",'Mapa final'!$P$38),"")</f>
        <v/>
      </c>
      <c r="S38" s="25" t="str">
        <f>IF(AND('Mapa final'!$Z$39="Baja",'Mapa final'!$AB$39="Menor"),CONCATENATE("R3C",'Mapa final'!$P$39),"")</f>
        <v/>
      </c>
      <c r="T38" s="25" t="str">
        <f>IF(AND('Mapa final'!$Z$40="Baja",'Mapa final'!$AB$40="Menor"),CONCATENATE("R3C",'Mapa final'!$P$40),"")</f>
        <v/>
      </c>
      <c r="U38" s="26" t="str">
        <f>IF(AND('Mapa final'!$Z$41="Baja",'Mapa final'!$AB$41="Menor"),CONCATENATE("R3C",'Mapa final'!$P$41),"")</f>
        <v/>
      </c>
      <c r="V38" s="24" t="str">
        <f>IF(AND('Mapa final'!$Z$36="Baja",'Mapa final'!$AB$36="Moderado"),CONCATENATE("R3C",'Mapa final'!$P$36),"")</f>
        <v/>
      </c>
      <c r="W38" s="25" t="str">
        <f>IF(AND('Mapa final'!$Z$37="Baja",'Mapa final'!$AB$37="Moderado"),CONCATENATE("R3C",'Mapa final'!$P$37),"")</f>
        <v/>
      </c>
      <c r="X38" s="25" t="str">
        <f>IF(AND('Mapa final'!$Z$38="Baja",'Mapa final'!$AB$38="Moderado"),CONCATENATE("R3C",'Mapa final'!$P$38),"")</f>
        <v/>
      </c>
      <c r="Y38" s="25" t="str">
        <f>IF(AND('Mapa final'!$Z$39="Baja",'Mapa final'!$AB$39="Moderado"),CONCATENATE("R3C",'Mapa final'!$P$39),"")</f>
        <v/>
      </c>
      <c r="Z38" s="25" t="str">
        <f>IF(AND('Mapa final'!$Z$40="Baja",'Mapa final'!$AB$40="Moderado"),CONCATENATE("R3C",'Mapa final'!$P$40),"")</f>
        <v/>
      </c>
      <c r="AA38" s="26" t="str">
        <f>IF(AND('Mapa final'!$Z$41="Baja",'Mapa final'!$AB$41="Moderado"),CONCATENATE("R3C",'Mapa final'!$P$41),"")</f>
        <v/>
      </c>
      <c r="AB38" s="9" t="str">
        <f>IF(AND('Mapa final'!$Z$36="Baja",'Mapa final'!$AB$36="Mayor"),CONCATENATE("R3C",'Mapa final'!$P$36),"")</f>
        <v/>
      </c>
      <c r="AC38" s="10" t="str">
        <f>IF(AND('Mapa final'!$Z$37="Baja",'Mapa final'!$AB$37="Mayor"),CONCATENATE("R3C",'Mapa final'!$P$37),"")</f>
        <v/>
      </c>
      <c r="AD38" s="10" t="str">
        <f>IF(AND('Mapa final'!$Z$38="Baja",'Mapa final'!$AB$38="Mayor"),CONCATENATE("R3C",'Mapa final'!$P$38),"")</f>
        <v/>
      </c>
      <c r="AE38" s="10" t="str">
        <f>IF(AND('Mapa final'!$Z$39="Baja",'Mapa final'!$AB$39="Mayor"),CONCATENATE("R3C",'Mapa final'!$P$39),"")</f>
        <v/>
      </c>
      <c r="AF38" s="10" t="str">
        <f>IF(AND('Mapa final'!$Z$40="Baja",'Mapa final'!$AB$40="Mayor"),CONCATENATE("R3C",'Mapa final'!$P$40),"")</f>
        <v/>
      </c>
      <c r="AG38" s="11" t="str">
        <f>IF(AND('Mapa final'!$Z$41="Baja",'Mapa final'!$AB$41="Mayor"),CONCATENATE("R3C",'Mapa final'!$P$41),"")</f>
        <v/>
      </c>
      <c r="AH38" s="12" t="str">
        <f>IF(AND('Mapa final'!$Z$36="Baja",'Mapa final'!$AB$36="Catastrófico"),CONCATENATE("R3C",'Mapa final'!$P$36),"")</f>
        <v/>
      </c>
      <c r="AI38" s="13" t="str">
        <f>IF(AND('Mapa final'!$Z$37="Baja",'Mapa final'!$AB$37="Catastrófico"),CONCATENATE("R3C",'Mapa final'!$P$37),"")</f>
        <v/>
      </c>
      <c r="AJ38" s="13" t="str">
        <f>IF(AND('Mapa final'!$Z$38="Baja",'Mapa final'!$AB$38="Catastrófico"),CONCATENATE("R3C",'Mapa final'!$P$38),"")</f>
        <v/>
      </c>
      <c r="AK38" s="13" t="str">
        <f>IF(AND('Mapa final'!$Z$39="Baja",'Mapa final'!$AB$39="Catastrófico"),CONCATENATE("R3C",'Mapa final'!$P$39),"")</f>
        <v/>
      </c>
      <c r="AL38" s="13" t="str">
        <f>IF(AND('Mapa final'!$Z$40="Baja",'Mapa final'!$AB$40="Catastrófico"),CONCATENATE("R3C",'Mapa final'!$P$40),"")</f>
        <v/>
      </c>
      <c r="AM38" s="14" t="str">
        <f>IF(AND('Mapa final'!$Z$41="Baja",'Mapa final'!$AB$41="Catastrófico"),CONCATENATE("R3C",'Mapa final'!$P$41),"")</f>
        <v/>
      </c>
      <c r="AN38" s="40"/>
      <c r="AO38" s="478"/>
      <c r="AP38" s="479"/>
      <c r="AQ38" s="479"/>
      <c r="AR38" s="479"/>
      <c r="AS38" s="479"/>
      <c r="AT38" s="48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row>
    <row r="39" spans="1:80" ht="15" customHeight="1" x14ac:dyDescent="0.25">
      <c r="A39" s="40"/>
      <c r="B39" s="359"/>
      <c r="C39" s="359"/>
      <c r="D39" s="360"/>
      <c r="E39" s="458"/>
      <c r="F39" s="457"/>
      <c r="G39" s="457"/>
      <c r="H39" s="457"/>
      <c r="I39" s="457"/>
      <c r="J39" s="33" t="str">
        <f>IF(AND('Mapa final'!$Z$42="Baja",'Mapa final'!$AB$42="Leve"),CONCATENATE("R4C",'Mapa final'!$P$42),"")</f>
        <v/>
      </c>
      <c r="K39" s="34" t="str">
        <f>IF(AND('Mapa final'!$Z$43="Baja",'Mapa final'!$AB$43="Leve"),CONCATENATE("R4C",'Mapa final'!$P$43),"")</f>
        <v/>
      </c>
      <c r="L39" s="34" t="str">
        <f>IF(AND('Mapa final'!$Z$44="Baja",'Mapa final'!$AB$44="Leve"),CONCATENATE("R4C",'Mapa final'!$P$44),"")</f>
        <v/>
      </c>
      <c r="M39" s="34" t="str">
        <f>IF(AND('Mapa final'!$Z$45="Baja",'Mapa final'!$AB$45="Leve"),CONCATENATE("R4C",'Mapa final'!$P$45),"")</f>
        <v/>
      </c>
      <c r="N39" s="34" t="str">
        <f>IF(AND('Mapa final'!$Z$46="Baja",'Mapa final'!$AB$46="Leve"),CONCATENATE("R4C",'Mapa final'!$P$46),"")</f>
        <v/>
      </c>
      <c r="O39" s="35" t="str">
        <f>IF(AND('Mapa final'!$Z$47="Baja",'Mapa final'!$AB$47="Leve"),CONCATENATE("R4C",'Mapa final'!$P$47),"")</f>
        <v/>
      </c>
      <c r="P39" s="24" t="str">
        <f>IF(AND('Mapa final'!$Z$42="Baja",'Mapa final'!$AB$42="Menor"),CONCATENATE("R4C",'Mapa final'!$P$42),"")</f>
        <v/>
      </c>
      <c r="Q39" s="25" t="str">
        <f>IF(AND('Mapa final'!$Z$43="Baja",'Mapa final'!$AB$43="Menor"),CONCATENATE("R4C",'Mapa final'!$P$43),"")</f>
        <v/>
      </c>
      <c r="R39" s="25" t="str">
        <f>IF(AND('Mapa final'!$Z$44="Baja",'Mapa final'!$AB$44="Menor"),CONCATENATE("R4C",'Mapa final'!$P$44),"")</f>
        <v/>
      </c>
      <c r="S39" s="25" t="str">
        <f>IF(AND('Mapa final'!$Z$45="Baja",'Mapa final'!$AB$45="Menor"),CONCATENATE("R4C",'Mapa final'!$P$45),"")</f>
        <v/>
      </c>
      <c r="T39" s="25" t="str">
        <f>IF(AND('Mapa final'!$Z$46="Baja",'Mapa final'!$AB$46="Menor"),CONCATENATE("R4C",'Mapa final'!$P$46),"")</f>
        <v/>
      </c>
      <c r="U39" s="26" t="str">
        <f>IF(AND('Mapa final'!$Z$47="Baja",'Mapa final'!$AB$47="Menor"),CONCATENATE("R4C",'Mapa final'!$P$47),"")</f>
        <v/>
      </c>
      <c r="V39" s="24" t="str">
        <f>IF(AND('Mapa final'!$Z$42="Baja",'Mapa final'!$AB$42="Moderado"),CONCATENATE("R4C",'Mapa final'!$P$42),"")</f>
        <v/>
      </c>
      <c r="W39" s="25" t="str">
        <f>IF(AND('Mapa final'!$Z$43="Baja",'Mapa final'!$AB$43="Moderado"),CONCATENATE("R4C",'Mapa final'!$P$43),"")</f>
        <v/>
      </c>
      <c r="X39" s="25" t="str">
        <f>IF(AND('Mapa final'!$Z$44="Baja",'Mapa final'!$AB$44="Moderado"),CONCATENATE("R4C",'Mapa final'!$P$44),"")</f>
        <v/>
      </c>
      <c r="Y39" s="25" t="str">
        <f>IF(AND('Mapa final'!$Z$45="Baja",'Mapa final'!$AB$45="Moderado"),CONCATENATE("R4C",'Mapa final'!$P$45),"")</f>
        <v/>
      </c>
      <c r="Z39" s="25" t="str">
        <f>IF(AND('Mapa final'!$Z$46="Baja",'Mapa final'!$AB$46="Moderado"),CONCATENATE("R4C",'Mapa final'!$P$46),"")</f>
        <v/>
      </c>
      <c r="AA39" s="26" t="str">
        <f>IF(AND('Mapa final'!$Z$47="Baja",'Mapa final'!$AB$47="Moderado"),CONCATENATE("R4C",'Mapa final'!$P$47),"")</f>
        <v/>
      </c>
      <c r="AB39" s="9" t="str">
        <f>IF(AND('Mapa final'!$Z$42="Baja",'Mapa final'!$AB$42="Mayor"),CONCATENATE("R4C",'Mapa final'!$P$42),"")</f>
        <v/>
      </c>
      <c r="AC39" s="10" t="str">
        <f>IF(AND('Mapa final'!$Z$43="Baja",'Mapa final'!$AB$43="Mayor"),CONCATENATE("R4C",'Mapa final'!$P$43),"")</f>
        <v/>
      </c>
      <c r="AD39" s="10" t="str">
        <f>IF(AND('Mapa final'!$Z$44="Baja",'Mapa final'!$AB$44="Mayor"),CONCATENATE("R4C",'Mapa final'!$P$44),"")</f>
        <v/>
      </c>
      <c r="AE39" s="10" t="str">
        <f>IF(AND('Mapa final'!$Z$45="Baja",'Mapa final'!$AB$45="Mayor"),CONCATENATE("R4C",'Mapa final'!$P$45),"")</f>
        <v/>
      </c>
      <c r="AF39" s="10" t="str">
        <f>IF(AND('Mapa final'!$Z$46="Baja",'Mapa final'!$AB$46="Mayor"),CONCATENATE("R4C",'Mapa final'!$P$46),"")</f>
        <v/>
      </c>
      <c r="AG39" s="11" t="str">
        <f>IF(AND('Mapa final'!$Z$47="Baja",'Mapa final'!$AB$47="Mayor"),CONCATENATE("R4C",'Mapa final'!$P$47),"")</f>
        <v/>
      </c>
      <c r="AH39" s="12" t="str">
        <f>IF(AND('Mapa final'!$Z$42="Baja",'Mapa final'!$AB$42="Catastrófico"),CONCATENATE("R4C",'Mapa final'!$P$42),"")</f>
        <v/>
      </c>
      <c r="AI39" s="13" t="str">
        <f>IF(AND('Mapa final'!$Z$43="Baja",'Mapa final'!$AB$43="Catastrófico"),CONCATENATE("R4C",'Mapa final'!$P$43),"")</f>
        <v/>
      </c>
      <c r="AJ39" s="13" t="str">
        <f>IF(AND('Mapa final'!$Z$44="Baja",'Mapa final'!$AB$44="Catastrófico"),CONCATENATE("R4C",'Mapa final'!$P$44),"")</f>
        <v/>
      </c>
      <c r="AK39" s="13" t="str">
        <f>IF(AND('Mapa final'!$Z$45="Baja",'Mapa final'!$AB$45="Catastrófico"),CONCATENATE("R4C",'Mapa final'!$P$45),"")</f>
        <v/>
      </c>
      <c r="AL39" s="13" t="str">
        <f>IF(AND('Mapa final'!$Z$46="Baja",'Mapa final'!$AB$46="Catastrófico"),CONCATENATE("R4C",'Mapa final'!$P$46),"")</f>
        <v/>
      </c>
      <c r="AM39" s="14" t="str">
        <f>IF(AND('Mapa final'!$Z$47="Baja",'Mapa final'!$AB$47="Catastrófico"),CONCATENATE("R4C",'Mapa final'!$P$47),"")</f>
        <v/>
      </c>
      <c r="AN39" s="40"/>
      <c r="AO39" s="478"/>
      <c r="AP39" s="479"/>
      <c r="AQ39" s="479"/>
      <c r="AR39" s="479"/>
      <c r="AS39" s="479"/>
      <c r="AT39" s="48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row>
    <row r="40" spans="1:80" ht="15" customHeight="1" x14ac:dyDescent="0.25">
      <c r="A40" s="40"/>
      <c r="B40" s="359"/>
      <c r="C40" s="359"/>
      <c r="D40" s="360"/>
      <c r="E40" s="458"/>
      <c r="F40" s="457"/>
      <c r="G40" s="457"/>
      <c r="H40" s="457"/>
      <c r="I40" s="457"/>
      <c r="J40" s="33" t="str">
        <f>IF(AND('Mapa final'!$Z$48="Baja",'Mapa final'!$AB$48="Leve"),CONCATENATE("R5C",'Mapa final'!$P$48),"")</f>
        <v/>
      </c>
      <c r="K40" s="34" t="str">
        <f>IF(AND('Mapa final'!$Z$49="Baja",'Mapa final'!$AB$49="Leve"),CONCATENATE("R5C",'Mapa final'!$P$49),"")</f>
        <v/>
      </c>
      <c r="L40" s="34" t="str">
        <f>IF(AND('Mapa final'!$Z$50="Baja",'Mapa final'!$AB$50="Leve"),CONCATENATE("R5C",'Mapa final'!$P$50),"")</f>
        <v/>
      </c>
      <c r="M40" s="34" t="str">
        <f>IF(AND('Mapa final'!$Z$51="Baja",'Mapa final'!$AB$51="Leve"),CONCATENATE("R5C",'Mapa final'!$P$51),"")</f>
        <v/>
      </c>
      <c r="N40" s="34" t="str">
        <f>IF(AND('Mapa final'!$Z$52="Baja",'Mapa final'!$AB$52="Leve"),CONCATENATE("R5C",'Mapa final'!$P$52),"")</f>
        <v/>
      </c>
      <c r="O40" s="35" t="str">
        <f>IF(AND('Mapa final'!$Z$53="Baja",'Mapa final'!$AB$53="Leve"),CONCATENATE("R5C",'Mapa final'!$P$53),"")</f>
        <v/>
      </c>
      <c r="P40" s="24" t="str">
        <f>IF(AND('Mapa final'!$Z$48="Baja",'Mapa final'!$AB$48="Menor"),CONCATENATE("R5C",'Mapa final'!$P$48),"")</f>
        <v/>
      </c>
      <c r="Q40" s="25" t="str">
        <f>IF(AND('Mapa final'!$Z$49="Baja",'Mapa final'!$AB$49="Menor"),CONCATENATE("R5C",'Mapa final'!$P$49),"")</f>
        <v/>
      </c>
      <c r="R40" s="25" t="str">
        <f>IF(AND('Mapa final'!$Z$50="Baja",'Mapa final'!$AB$50="Menor"),CONCATENATE("R5C",'Mapa final'!$P$50),"")</f>
        <v/>
      </c>
      <c r="S40" s="25" t="str">
        <f>IF(AND('Mapa final'!$Z$51="Baja",'Mapa final'!$AB$51="Menor"),CONCATENATE("R5C",'Mapa final'!$P$51),"")</f>
        <v/>
      </c>
      <c r="T40" s="25" t="str">
        <f>IF(AND('Mapa final'!$Z$52="Baja",'Mapa final'!$AB$52="Menor"),CONCATENATE("R5C",'Mapa final'!$P$52),"")</f>
        <v/>
      </c>
      <c r="U40" s="26" t="str">
        <f>IF(AND('Mapa final'!$Z$53="Baja",'Mapa final'!$AB$53="Menor"),CONCATENATE("R5C",'Mapa final'!$P$53),"")</f>
        <v/>
      </c>
      <c r="V40" s="24" t="str">
        <f>IF(AND('Mapa final'!$Z$48="Baja",'Mapa final'!$AB$48="Moderado"),CONCATENATE("R5C",'Mapa final'!$P$48),"")</f>
        <v/>
      </c>
      <c r="W40" s="25" t="str">
        <f>IF(AND('Mapa final'!$Z$49="Baja",'Mapa final'!$AB$49="Moderado"),CONCATENATE("R5C",'Mapa final'!$P$49),"")</f>
        <v/>
      </c>
      <c r="X40" s="25" t="str">
        <f>IF(AND('Mapa final'!$Z$50="Baja",'Mapa final'!$AB$50="Moderado"),CONCATENATE("R5C",'Mapa final'!$P$50),"")</f>
        <v/>
      </c>
      <c r="Y40" s="25" t="str">
        <f>IF(AND('Mapa final'!$Z$51="Baja",'Mapa final'!$AB$51="Moderado"),CONCATENATE("R5C",'Mapa final'!$P$51),"")</f>
        <v/>
      </c>
      <c r="Z40" s="25" t="str">
        <f>IF(AND('Mapa final'!$Z$52="Baja",'Mapa final'!$AB$52="Moderado"),CONCATENATE("R5C",'Mapa final'!$P$52),"")</f>
        <v/>
      </c>
      <c r="AA40" s="26" t="str">
        <f>IF(AND('Mapa final'!$Z$53="Baja",'Mapa final'!$AB$53="Moderado"),CONCATENATE("R5C",'Mapa final'!$P$53),"")</f>
        <v/>
      </c>
      <c r="AB40" s="9" t="str">
        <f>IF(AND('Mapa final'!$Z$48="Baja",'Mapa final'!$AB$48="Mayor"),CONCATENATE("R5C",'Mapa final'!$P$48),"")</f>
        <v/>
      </c>
      <c r="AC40" s="10" t="str">
        <f>IF(AND('Mapa final'!$Z$49="Baja",'Mapa final'!$AB$49="Mayor"),CONCATENATE("R5C",'Mapa final'!$P$49),"")</f>
        <v/>
      </c>
      <c r="AD40" s="10" t="str">
        <f>IF(AND('Mapa final'!$Z$50="Baja",'Mapa final'!$AB$50="Mayor"),CONCATENATE("R5C",'Mapa final'!$P$50),"")</f>
        <v/>
      </c>
      <c r="AE40" s="10" t="str">
        <f>IF(AND('Mapa final'!$Z$51="Baja",'Mapa final'!$AB$51="Mayor"),CONCATENATE("R5C",'Mapa final'!$P$51),"")</f>
        <v/>
      </c>
      <c r="AF40" s="10" t="str">
        <f>IF(AND('Mapa final'!$Z$52="Baja",'Mapa final'!$AB$52="Mayor"),CONCATENATE("R5C",'Mapa final'!$P$52),"")</f>
        <v/>
      </c>
      <c r="AG40" s="11" t="str">
        <f>IF(AND('Mapa final'!$Z$53="Baja",'Mapa final'!$AB$53="Mayor"),CONCATENATE("R5C",'Mapa final'!$P$53),"")</f>
        <v/>
      </c>
      <c r="AH40" s="12" t="str">
        <f>IF(AND('Mapa final'!$Z$48="Baja",'Mapa final'!$AB$48="Catastrófico"),CONCATENATE("R5C",'Mapa final'!$P$48),"")</f>
        <v/>
      </c>
      <c r="AI40" s="13" t="str">
        <f>IF(AND('Mapa final'!$Z$49="Baja",'Mapa final'!$AB$49="Catastrófico"),CONCATENATE("R5C",'Mapa final'!$P$49),"")</f>
        <v/>
      </c>
      <c r="AJ40" s="13" t="str">
        <f>IF(AND('Mapa final'!$Z$50="Baja",'Mapa final'!$AB$50="Catastrófico"),CONCATENATE("R5C",'Mapa final'!$P$50),"")</f>
        <v/>
      </c>
      <c r="AK40" s="13" t="str">
        <f>IF(AND('Mapa final'!$Z$51="Baja",'Mapa final'!$AB$51="Catastrófico"),CONCATENATE("R5C",'Mapa final'!$P$51),"")</f>
        <v/>
      </c>
      <c r="AL40" s="13" t="str">
        <f>IF(AND('Mapa final'!$Z$52="Baja",'Mapa final'!$AB$52="Catastrófico"),CONCATENATE("R5C",'Mapa final'!$P$52),"")</f>
        <v/>
      </c>
      <c r="AM40" s="14" t="str">
        <f>IF(AND('Mapa final'!$Z$53="Baja",'Mapa final'!$AB$53="Catastrófico"),CONCATENATE("R5C",'Mapa final'!$P$53),"")</f>
        <v/>
      </c>
      <c r="AN40" s="40"/>
      <c r="AO40" s="478"/>
      <c r="AP40" s="479"/>
      <c r="AQ40" s="479"/>
      <c r="AR40" s="479"/>
      <c r="AS40" s="479"/>
      <c r="AT40" s="48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row>
    <row r="41" spans="1:80" ht="15" customHeight="1" x14ac:dyDescent="0.25">
      <c r="A41" s="40"/>
      <c r="B41" s="359"/>
      <c r="C41" s="359"/>
      <c r="D41" s="360"/>
      <c r="E41" s="458"/>
      <c r="F41" s="457"/>
      <c r="G41" s="457"/>
      <c r="H41" s="457"/>
      <c r="I41" s="457"/>
      <c r="J41" s="33" t="str">
        <f>IF(AND('Mapa final'!$Z$54="Baja",'Mapa final'!$AB$54="Leve"),CONCATENATE("R6C",'Mapa final'!$P$54),"")</f>
        <v/>
      </c>
      <c r="K41" s="34" t="str">
        <f>IF(AND('Mapa final'!$Z$55="Baja",'Mapa final'!$AB$55="Leve"),CONCATENATE("R6C",'Mapa final'!$P$55),"")</f>
        <v/>
      </c>
      <c r="L41" s="34" t="str">
        <f>IF(AND('Mapa final'!$Z$56="Baja",'Mapa final'!$AB$56="Leve"),CONCATENATE("R6C",'Mapa final'!$P$56),"")</f>
        <v/>
      </c>
      <c r="M41" s="34" t="str">
        <f>IF(AND('Mapa final'!$Z$57="Baja",'Mapa final'!$AB$57="Leve"),CONCATENATE("R6C",'Mapa final'!$P$57),"")</f>
        <v/>
      </c>
      <c r="N41" s="34" t="str">
        <f>IF(AND('Mapa final'!$Z$58="Baja",'Mapa final'!$AB$58="Leve"),CONCATENATE("R6C",'Mapa final'!$P$58),"")</f>
        <v/>
      </c>
      <c r="O41" s="35" t="str">
        <f>IF(AND('Mapa final'!$Z$59="Baja",'Mapa final'!$AB$59="Leve"),CONCATENATE("R6C",'Mapa final'!$P$59),"")</f>
        <v/>
      </c>
      <c r="P41" s="24" t="str">
        <f>IF(AND('Mapa final'!$Z$54="Baja",'Mapa final'!$AB$54="Menor"),CONCATENATE("R6C",'Mapa final'!$P$54),"")</f>
        <v/>
      </c>
      <c r="Q41" s="25" t="str">
        <f>IF(AND('Mapa final'!$Z$55="Baja",'Mapa final'!$AB$55="Menor"),CONCATENATE("R6C",'Mapa final'!$P$55),"")</f>
        <v/>
      </c>
      <c r="R41" s="25" t="str">
        <f>IF(AND('Mapa final'!$Z$56="Baja",'Mapa final'!$AB$56="Menor"),CONCATENATE("R6C",'Mapa final'!$P$56),"")</f>
        <v/>
      </c>
      <c r="S41" s="25" t="str">
        <f>IF(AND('Mapa final'!$Z$57="Baja",'Mapa final'!$AB$57="Menor"),CONCATENATE("R6C",'Mapa final'!$P$57),"")</f>
        <v/>
      </c>
      <c r="T41" s="25" t="str">
        <f>IF(AND('Mapa final'!$Z$58="Baja",'Mapa final'!$AB$58="Menor"),CONCATENATE("R6C",'Mapa final'!$P$58),"")</f>
        <v/>
      </c>
      <c r="U41" s="26" t="str">
        <f>IF(AND('Mapa final'!$Z$59="Baja",'Mapa final'!$AB$59="Menor"),CONCATENATE("R6C",'Mapa final'!$P$59),"")</f>
        <v/>
      </c>
      <c r="V41" s="24" t="str">
        <f>IF(AND('Mapa final'!$Z$54="Baja",'Mapa final'!$AB$54="Moderado"),CONCATENATE("R6C",'Mapa final'!$P$54),"")</f>
        <v/>
      </c>
      <c r="W41" s="25" t="str">
        <f>IF(AND('Mapa final'!$Z$55="Baja",'Mapa final'!$AB$55="Moderado"),CONCATENATE("R6C",'Mapa final'!$P$55),"")</f>
        <v/>
      </c>
      <c r="X41" s="25" t="str">
        <f>IF(AND('Mapa final'!$Z$56="Baja",'Mapa final'!$AB$56="Moderado"),CONCATENATE("R6C",'Mapa final'!$P$56),"")</f>
        <v/>
      </c>
      <c r="Y41" s="25" t="str">
        <f>IF(AND('Mapa final'!$Z$57="Baja",'Mapa final'!$AB$57="Moderado"),CONCATENATE("R6C",'Mapa final'!$P$57),"")</f>
        <v/>
      </c>
      <c r="Z41" s="25" t="str">
        <f>IF(AND('Mapa final'!$Z$58="Baja",'Mapa final'!$AB$58="Moderado"),CONCATENATE("R6C",'Mapa final'!$P$58),"")</f>
        <v/>
      </c>
      <c r="AA41" s="26" t="str">
        <f>IF(AND('Mapa final'!$Z$59="Baja",'Mapa final'!$AB$59="Moderado"),CONCATENATE("R6C",'Mapa final'!$P$59),"")</f>
        <v/>
      </c>
      <c r="AB41" s="9" t="str">
        <f>IF(AND('Mapa final'!$Z$54="Baja",'Mapa final'!$AB$54="Mayor"),CONCATENATE("R6C",'Mapa final'!$P$54),"")</f>
        <v/>
      </c>
      <c r="AC41" s="10" t="str">
        <f>IF(AND('Mapa final'!$Z$55="Baja",'Mapa final'!$AB$55="Mayor"),CONCATENATE("R6C",'Mapa final'!$P$55),"")</f>
        <v/>
      </c>
      <c r="AD41" s="10" t="str">
        <f>IF(AND('Mapa final'!$Z$56="Baja",'Mapa final'!$AB$56="Mayor"),CONCATENATE("R6C",'Mapa final'!$P$56),"")</f>
        <v/>
      </c>
      <c r="AE41" s="10" t="str">
        <f>IF(AND('Mapa final'!$Z$57="Baja",'Mapa final'!$AB$57="Mayor"),CONCATENATE("R6C",'Mapa final'!$P$57),"")</f>
        <v/>
      </c>
      <c r="AF41" s="10" t="str">
        <f>IF(AND('Mapa final'!$Z$58="Baja",'Mapa final'!$AB$58="Mayor"),CONCATENATE("R6C",'Mapa final'!$P$58),"")</f>
        <v/>
      </c>
      <c r="AG41" s="11" t="str">
        <f>IF(AND('Mapa final'!$Z$59="Baja",'Mapa final'!$AB$59="Mayor"),CONCATENATE("R6C",'Mapa final'!$P$59),"")</f>
        <v/>
      </c>
      <c r="AH41" s="12" t="str">
        <f>IF(AND('Mapa final'!$Z$54="Baja",'Mapa final'!$AB$54="Catastrófico"),CONCATENATE("R6C",'Mapa final'!$P$54),"")</f>
        <v/>
      </c>
      <c r="AI41" s="13" t="str">
        <f>IF(AND('Mapa final'!$Z$55="Baja",'Mapa final'!$AB$55="Catastrófico"),CONCATENATE("R6C",'Mapa final'!$P$55),"")</f>
        <v/>
      </c>
      <c r="AJ41" s="13" t="str">
        <f>IF(AND('Mapa final'!$Z$56="Baja",'Mapa final'!$AB$56="Catastrófico"),CONCATENATE("R6C",'Mapa final'!$P$56),"")</f>
        <v/>
      </c>
      <c r="AK41" s="13" t="str">
        <f>IF(AND('Mapa final'!$Z$57="Baja",'Mapa final'!$AB$57="Catastrófico"),CONCATENATE("R6C",'Mapa final'!$P$57),"")</f>
        <v/>
      </c>
      <c r="AL41" s="13" t="str">
        <f>IF(AND('Mapa final'!$Z$58="Baja",'Mapa final'!$AB$58="Catastrófico"),CONCATENATE("R6C",'Mapa final'!$P$58),"")</f>
        <v/>
      </c>
      <c r="AM41" s="14" t="str">
        <f>IF(AND('Mapa final'!$Z$59="Baja",'Mapa final'!$AB$59="Catastrófico"),CONCATENATE("R6C",'Mapa final'!$P$59),"")</f>
        <v/>
      </c>
      <c r="AN41" s="40"/>
      <c r="AO41" s="478"/>
      <c r="AP41" s="479"/>
      <c r="AQ41" s="479"/>
      <c r="AR41" s="479"/>
      <c r="AS41" s="479"/>
      <c r="AT41" s="48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row>
    <row r="42" spans="1:80" ht="15" customHeight="1" x14ac:dyDescent="0.25">
      <c r="A42" s="40"/>
      <c r="B42" s="359"/>
      <c r="C42" s="359"/>
      <c r="D42" s="360"/>
      <c r="E42" s="458"/>
      <c r="F42" s="457"/>
      <c r="G42" s="457"/>
      <c r="H42" s="457"/>
      <c r="I42" s="457"/>
      <c r="J42" s="33" t="str">
        <f>IF(AND('Mapa final'!$Z$60="Baja",'Mapa final'!$AB$60="Leve"),CONCATENATE("R7C",'Mapa final'!$P$60),"")</f>
        <v/>
      </c>
      <c r="K42" s="34" t="str">
        <f>IF(AND('Mapa final'!$Z$61="Baja",'Mapa final'!$AB$61="Leve"),CONCATENATE("R7C",'Mapa final'!$P$61),"")</f>
        <v/>
      </c>
      <c r="L42" s="34" t="str">
        <f>IF(AND('Mapa final'!$Z$62="Baja",'Mapa final'!$AB$62="Leve"),CONCATENATE("R7C",'Mapa final'!$P$62),"")</f>
        <v/>
      </c>
      <c r="M42" s="34" t="str">
        <f>IF(AND('Mapa final'!$Z$63="Baja",'Mapa final'!$AB$63="Leve"),CONCATENATE("R7C",'Mapa final'!$P$63),"")</f>
        <v/>
      </c>
      <c r="N42" s="34" t="str">
        <f>IF(AND('Mapa final'!$Z$64="Baja",'Mapa final'!$AB$64="Leve"),CONCATENATE("R7C",'Mapa final'!$P$64),"")</f>
        <v/>
      </c>
      <c r="O42" s="35" t="str">
        <f>IF(AND('Mapa final'!$Z$65="Baja",'Mapa final'!$AB$65="Leve"),CONCATENATE("R7C",'Mapa final'!$P$65),"")</f>
        <v/>
      </c>
      <c r="P42" s="24" t="str">
        <f>IF(AND('Mapa final'!$Z$60="Baja",'Mapa final'!$AB$60="Menor"),CONCATENATE("R7C",'Mapa final'!$P$60),"")</f>
        <v/>
      </c>
      <c r="Q42" s="25" t="str">
        <f>IF(AND('Mapa final'!$Z$61="Baja",'Mapa final'!$AB$61="Menor"),CONCATENATE("R7C",'Mapa final'!$P$61),"")</f>
        <v/>
      </c>
      <c r="R42" s="25" t="str">
        <f>IF(AND('Mapa final'!$Z$62="Baja",'Mapa final'!$AB$62="Menor"),CONCATENATE("R7C",'Mapa final'!$P$62),"")</f>
        <v/>
      </c>
      <c r="S42" s="25" t="str">
        <f>IF(AND('Mapa final'!$Z$63="Baja",'Mapa final'!$AB$63="Menor"),CONCATENATE("R7C",'Mapa final'!$P$63),"")</f>
        <v/>
      </c>
      <c r="T42" s="25" t="str">
        <f>IF(AND('Mapa final'!$Z$64="Baja",'Mapa final'!$AB$64="Menor"),CONCATENATE("R7C",'Mapa final'!$P$64),"")</f>
        <v/>
      </c>
      <c r="U42" s="26" t="str">
        <f>IF(AND('Mapa final'!$Z$65="Baja",'Mapa final'!$AB$65="Menor"),CONCATENATE("R7C",'Mapa final'!$P$65),"")</f>
        <v/>
      </c>
      <c r="V42" s="24" t="str">
        <f>IF(AND('Mapa final'!$Z$60="Baja",'Mapa final'!$AB$60="Moderado"),CONCATENATE("R7C",'Mapa final'!$P$60),"")</f>
        <v/>
      </c>
      <c r="W42" s="25" t="str">
        <f>IF(AND('Mapa final'!$Z$61="Baja",'Mapa final'!$AB$61="Moderado"),CONCATENATE("R7C",'Mapa final'!$P$61),"")</f>
        <v/>
      </c>
      <c r="X42" s="25" t="str">
        <f>IF(AND('Mapa final'!$Z$62="Baja",'Mapa final'!$AB$62="Moderado"),CONCATENATE("R7C",'Mapa final'!$P$62),"")</f>
        <v/>
      </c>
      <c r="Y42" s="25" t="str">
        <f>IF(AND('Mapa final'!$Z$63="Baja",'Mapa final'!$AB$63="Moderado"),CONCATENATE("R7C",'Mapa final'!$P$63),"")</f>
        <v/>
      </c>
      <c r="Z42" s="25" t="str">
        <f>IF(AND('Mapa final'!$Z$64="Baja",'Mapa final'!$AB$64="Moderado"),CONCATENATE("R7C",'Mapa final'!$P$64),"")</f>
        <v/>
      </c>
      <c r="AA42" s="26" t="str">
        <f>IF(AND('Mapa final'!$Z$65="Baja",'Mapa final'!$AB$65="Moderado"),CONCATENATE("R7C",'Mapa final'!$P$65),"")</f>
        <v/>
      </c>
      <c r="AB42" s="9" t="str">
        <f>IF(AND('Mapa final'!$Z$60="Baja",'Mapa final'!$AB$60="Mayor"),CONCATENATE("R7C",'Mapa final'!$P$60),"")</f>
        <v/>
      </c>
      <c r="AC42" s="10" t="str">
        <f>IF(AND('Mapa final'!$Z$61="Baja",'Mapa final'!$AB$61="Mayor"),CONCATENATE("R7C",'Mapa final'!$P$61),"")</f>
        <v/>
      </c>
      <c r="AD42" s="10" t="str">
        <f>IF(AND('Mapa final'!$Z$62="Baja",'Mapa final'!$AB$62="Mayor"),CONCATENATE("R7C",'Mapa final'!$P$62),"")</f>
        <v/>
      </c>
      <c r="AE42" s="10" t="str">
        <f>IF(AND('Mapa final'!$Z$63="Baja",'Mapa final'!$AB$63="Mayor"),CONCATENATE("R7C",'Mapa final'!$P$63),"")</f>
        <v/>
      </c>
      <c r="AF42" s="10" t="str">
        <f>IF(AND('Mapa final'!$Z$64="Baja",'Mapa final'!$AB$64="Mayor"),CONCATENATE("R7C",'Mapa final'!$P$64),"")</f>
        <v/>
      </c>
      <c r="AG42" s="11" t="str">
        <f>IF(AND('Mapa final'!$Z$65="Baja",'Mapa final'!$AB$65="Mayor"),CONCATENATE("R7C",'Mapa final'!$P$65),"")</f>
        <v/>
      </c>
      <c r="AH42" s="12" t="str">
        <f>IF(AND('Mapa final'!$Z$60="Baja",'Mapa final'!$AB$60="Catastrófico"),CONCATENATE("R7C",'Mapa final'!$P$60),"")</f>
        <v/>
      </c>
      <c r="AI42" s="13" t="str">
        <f>IF(AND('Mapa final'!$Z$61="Baja",'Mapa final'!$AB$61="Catastrófico"),CONCATENATE("R7C",'Mapa final'!$P$61),"")</f>
        <v/>
      </c>
      <c r="AJ42" s="13" t="str">
        <f>IF(AND('Mapa final'!$Z$62="Baja",'Mapa final'!$AB$62="Catastrófico"),CONCATENATE("R7C",'Mapa final'!$P$62),"")</f>
        <v/>
      </c>
      <c r="AK42" s="13" t="str">
        <f>IF(AND('Mapa final'!$Z$63="Baja",'Mapa final'!$AB$63="Catastrófico"),CONCATENATE("R7C",'Mapa final'!$P$63),"")</f>
        <v/>
      </c>
      <c r="AL42" s="13" t="str">
        <f>IF(AND('Mapa final'!$Z$64="Baja",'Mapa final'!$AB$64="Catastrófico"),CONCATENATE("R7C",'Mapa final'!$P$64),"")</f>
        <v/>
      </c>
      <c r="AM42" s="14" t="str">
        <f>IF(AND('Mapa final'!$Z$65="Baja",'Mapa final'!$AB$65="Catastrófico"),CONCATENATE("R7C",'Mapa final'!$P$65),"")</f>
        <v/>
      </c>
      <c r="AN42" s="40"/>
      <c r="AO42" s="478"/>
      <c r="AP42" s="479"/>
      <c r="AQ42" s="479"/>
      <c r="AR42" s="479"/>
      <c r="AS42" s="479"/>
      <c r="AT42" s="48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row>
    <row r="43" spans="1:80" ht="15" customHeight="1" x14ac:dyDescent="0.25">
      <c r="A43" s="40"/>
      <c r="B43" s="359"/>
      <c r="C43" s="359"/>
      <c r="D43" s="360"/>
      <c r="E43" s="458"/>
      <c r="F43" s="457"/>
      <c r="G43" s="457"/>
      <c r="H43" s="457"/>
      <c r="I43" s="457"/>
      <c r="J43" s="33" t="str">
        <f>IF(AND('Mapa final'!$Z$66="Baja",'Mapa final'!$AB$66="Leve"),CONCATENATE("R8C",'Mapa final'!$P$66),"")</f>
        <v/>
      </c>
      <c r="K43" s="34" t="str">
        <f>IF(AND('Mapa final'!$Z$67="Baja",'Mapa final'!$AB$67="Leve"),CONCATENATE("R8C",'Mapa final'!$P$67),"")</f>
        <v/>
      </c>
      <c r="L43" s="34" t="str">
        <f>IF(AND('Mapa final'!$Z$68="Baja",'Mapa final'!$AB$68="Leve"),CONCATENATE("R8C",'Mapa final'!$P$68),"")</f>
        <v/>
      </c>
      <c r="M43" s="34" t="str">
        <f>IF(AND('Mapa final'!$Z$69="Baja",'Mapa final'!$AB$69="Leve"),CONCATENATE("R8C",'Mapa final'!$P$69),"")</f>
        <v/>
      </c>
      <c r="N43" s="34" t="str">
        <f>IF(AND('Mapa final'!$Z$70="Baja",'Mapa final'!$AB$70="Leve"),CONCATENATE("R8C",'Mapa final'!$P$70),"")</f>
        <v/>
      </c>
      <c r="O43" s="35" t="str">
        <f>IF(AND('Mapa final'!$Z$71="Baja",'Mapa final'!$AB$71="Leve"),CONCATENATE("R8C",'Mapa final'!$P$71),"")</f>
        <v/>
      </c>
      <c r="P43" s="24" t="str">
        <f>IF(AND('Mapa final'!$Z$66="Baja",'Mapa final'!$AB$66="Menor"),CONCATENATE("R8C",'Mapa final'!$P$66),"")</f>
        <v/>
      </c>
      <c r="Q43" s="25" t="str">
        <f>IF(AND('Mapa final'!$Z$67="Baja",'Mapa final'!$AB$67="Menor"),CONCATENATE("R8C",'Mapa final'!$P$67),"")</f>
        <v/>
      </c>
      <c r="R43" s="25" t="str">
        <f>IF(AND('Mapa final'!$Z$68="Baja",'Mapa final'!$AB$68="Menor"),CONCATENATE("R8C",'Mapa final'!$P$68),"")</f>
        <v/>
      </c>
      <c r="S43" s="25" t="str">
        <f>IF(AND('Mapa final'!$Z$69="Baja",'Mapa final'!$AB$69="Menor"),CONCATENATE("R8C",'Mapa final'!$P$69),"")</f>
        <v/>
      </c>
      <c r="T43" s="25" t="str">
        <f>IF(AND('Mapa final'!$Z$70="Baja",'Mapa final'!$AB$70="Menor"),CONCATENATE("R8C",'Mapa final'!$P$70),"")</f>
        <v/>
      </c>
      <c r="U43" s="26" t="str">
        <f>IF(AND('Mapa final'!$Z$71="Baja",'Mapa final'!$AB$71="Menor"),CONCATENATE("R8C",'Mapa final'!$P$71),"")</f>
        <v/>
      </c>
      <c r="V43" s="24" t="str">
        <f>IF(AND('Mapa final'!$Z$66="Baja",'Mapa final'!$AB$66="Moderado"),CONCATENATE("R8C",'Mapa final'!$P$66),"")</f>
        <v/>
      </c>
      <c r="W43" s="25" t="str">
        <f>IF(AND('Mapa final'!$Z$67="Baja",'Mapa final'!$AB$67="Moderado"),CONCATENATE("R8C",'Mapa final'!$P$67),"")</f>
        <v/>
      </c>
      <c r="X43" s="25" t="str">
        <f>IF(AND('Mapa final'!$Z$68="Baja",'Mapa final'!$AB$68="Moderado"),CONCATENATE("R8C",'Mapa final'!$P$68),"")</f>
        <v/>
      </c>
      <c r="Y43" s="25" t="str">
        <f>IF(AND('Mapa final'!$Z$69="Baja",'Mapa final'!$AB$69="Moderado"),CONCATENATE("R8C",'Mapa final'!$P$69),"")</f>
        <v/>
      </c>
      <c r="Z43" s="25" t="str">
        <f>IF(AND('Mapa final'!$Z$70="Baja",'Mapa final'!$AB$70="Moderado"),CONCATENATE("R8C",'Mapa final'!$P$70),"")</f>
        <v/>
      </c>
      <c r="AA43" s="26" t="str">
        <f>IF(AND('Mapa final'!$Z$71="Baja",'Mapa final'!$AB$71="Moderado"),CONCATENATE("R8C",'Mapa final'!$P$71),"")</f>
        <v/>
      </c>
      <c r="AB43" s="9" t="str">
        <f>IF(AND('Mapa final'!$Z$66="Baja",'Mapa final'!$AB$66="Mayor"),CONCATENATE("R8C",'Mapa final'!$P$66),"")</f>
        <v/>
      </c>
      <c r="AC43" s="10" t="str">
        <f>IF(AND('Mapa final'!$Z$67="Baja",'Mapa final'!$AB$67="Mayor"),CONCATENATE("R8C",'Mapa final'!$P$67),"")</f>
        <v/>
      </c>
      <c r="AD43" s="10" t="str">
        <f>IF(AND('Mapa final'!$Z$68="Baja",'Mapa final'!$AB$68="Mayor"),CONCATENATE("R8C",'Mapa final'!$P$68),"")</f>
        <v/>
      </c>
      <c r="AE43" s="10" t="str">
        <f>IF(AND('Mapa final'!$Z$69="Baja",'Mapa final'!$AB$69="Mayor"),CONCATENATE("R8C",'Mapa final'!$P$69),"")</f>
        <v/>
      </c>
      <c r="AF43" s="10" t="str">
        <f>IF(AND('Mapa final'!$Z$70="Baja",'Mapa final'!$AB$70="Mayor"),CONCATENATE("R8C",'Mapa final'!$P$70),"")</f>
        <v/>
      </c>
      <c r="AG43" s="11" t="str">
        <f>IF(AND('Mapa final'!$Z$71="Baja",'Mapa final'!$AB$71="Mayor"),CONCATENATE("R8C",'Mapa final'!$P$71),"")</f>
        <v/>
      </c>
      <c r="AH43" s="12" t="str">
        <f>IF(AND('Mapa final'!$Z$66="Baja",'Mapa final'!$AB$66="Catastrófico"),CONCATENATE("R8C",'Mapa final'!$P$66),"")</f>
        <v/>
      </c>
      <c r="AI43" s="13" t="str">
        <f>IF(AND('Mapa final'!$Z$67="Baja",'Mapa final'!$AB$67="Catastrófico"),CONCATENATE("R8C",'Mapa final'!$P$67),"")</f>
        <v/>
      </c>
      <c r="AJ43" s="13" t="str">
        <f>IF(AND('Mapa final'!$Z$68="Baja",'Mapa final'!$AB$68="Catastrófico"),CONCATENATE("R8C",'Mapa final'!$P$68),"")</f>
        <v/>
      </c>
      <c r="AK43" s="13" t="str">
        <f>IF(AND('Mapa final'!$Z$69="Baja",'Mapa final'!$AB$69="Catastrófico"),CONCATENATE("R8C",'Mapa final'!$P$69),"")</f>
        <v/>
      </c>
      <c r="AL43" s="13" t="str">
        <f>IF(AND('Mapa final'!$Z$70="Baja",'Mapa final'!$AB$70="Catastrófico"),CONCATENATE("R8C",'Mapa final'!$P$70),"")</f>
        <v/>
      </c>
      <c r="AM43" s="14" t="str">
        <f>IF(AND('Mapa final'!$Z$71="Baja",'Mapa final'!$AB$71="Catastrófico"),CONCATENATE("R8C",'Mapa final'!$P$71),"")</f>
        <v/>
      </c>
      <c r="AN43" s="40"/>
      <c r="AO43" s="478"/>
      <c r="AP43" s="479"/>
      <c r="AQ43" s="479"/>
      <c r="AR43" s="479"/>
      <c r="AS43" s="479"/>
      <c r="AT43" s="48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row>
    <row r="44" spans="1:80" ht="15" customHeight="1" x14ac:dyDescent="0.25">
      <c r="A44" s="40"/>
      <c r="B44" s="359"/>
      <c r="C44" s="359"/>
      <c r="D44" s="360"/>
      <c r="E44" s="458"/>
      <c r="F44" s="457"/>
      <c r="G44" s="457"/>
      <c r="H44" s="457"/>
      <c r="I44" s="457"/>
      <c r="J44" s="33" t="str">
        <f>IF(AND('Mapa final'!$Z$72="Baja",'Mapa final'!$AB$72="Leve"),CONCATENATE("R9C",'Mapa final'!$P$72),"")</f>
        <v/>
      </c>
      <c r="K44" s="34" t="str">
        <f>IF(AND('Mapa final'!$Z$73="Baja",'Mapa final'!$AB$73="Leve"),CONCATENATE("R9C",'Mapa final'!$P$73),"")</f>
        <v/>
      </c>
      <c r="L44" s="34" t="str">
        <f>IF(AND('Mapa final'!$Z$74="Baja",'Mapa final'!$AB$74="Leve"),CONCATENATE("R9C",'Mapa final'!$P$74),"")</f>
        <v/>
      </c>
      <c r="M44" s="34" t="str">
        <f>IF(AND('Mapa final'!$Z$75="Baja",'Mapa final'!$AB$75="Leve"),CONCATENATE("R9C",'Mapa final'!$P$75),"")</f>
        <v/>
      </c>
      <c r="N44" s="34" t="str">
        <f>IF(AND('Mapa final'!$Z$76="Baja",'Mapa final'!$AB$76="Leve"),CONCATENATE("R9C",'Mapa final'!$P$76),"")</f>
        <v/>
      </c>
      <c r="O44" s="35" t="str">
        <f>IF(AND('Mapa final'!$Z$77="Baja",'Mapa final'!$AB$77="Leve"),CONCATENATE("R9C",'Mapa final'!$P$77),"")</f>
        <v/>
      </c>
      <c r="P44" s="24" t="str">
        <f>IF(AND('Mapa final'!$Z$72="Baja",'Mapa final'!$AB$72="Menor"),CONCATENATE("R9C",'Mapa final'!$P$72),"")</f>
        <v/>
      </c>
      <c r="Q44" s="25" t="str">
        <f>IF(AND('Mapa final'!$Z$73="Baja",'Mapa final'!$AB$73="Menor"),CONCATENATE("R9C",'Mapa final'!$P$73),"")</f>
        <v/>
      </c>
      <c r="R44" s="25" t="str">
        <f>IF(AND('Mapa final'!$Z$74="Baja",'Mapa final'!$AB$74="Menor"),CONCATENATE("R9C",'Mapa final'!$P$74),"")</f>
        <v/>
      </c>
      <c r="S44" s="25" t="str">
        <f>IF(AND('Mapa final'!$Z$75="Baja",'Mapa final'!$AB$75="Menor"),CONCATENATE("R9C",'Mapa final'!$P$75),"")</f>
        <v/>
      </c>
      <c r="T44" s="25" t="str">
        <f>IF(AND('Mapa final'!$Z$76="Baja",'Mapa final'!$AB$76="Menor"),CONCATENATE("R9C",'Mapa final'!$P$76),"")</f>
        <v/>
      </c>
      <c r="U44" s="26" t="str">
        <f>IF(AND('Mapa final'!$Z$77="Baja",'Mapa final'!$AB$77="Menor"),CONCATENATE("R9C",'Mapa final'!$P$77),"")</f>
        <v/>
      </c>
      <c r="V44" s="24" t="str">
        <f>IF(AND('Mapa final'!$Z$72="Baja",'Mapa final'!$AB$72="Moderado"),CONCATENATE("R9C",'Mapa final'!$P$72),"")</f>
        <v/>
      </c>
      <c r="W44" s="25" t="str">
        <f>IF(AND('Mapa final'!$Z$73="Baja",'Mapa final'!$AB$73="Moderado"),CONCATENATE("R9C",'Mapa final'!$P$73),"")</f>
        <v/>
      </c>
      <c r="X44" s="25" t="str">
        <f>IF(AND('Mapa final'!$Z$74="Baja",'Mapa final'!$AB$74="Moderado"),CONCATENATE("R9C",'Mapa final'!$P$74),"")</f>
        <v/>
      </c>
      <c r="Y44" s="25" t="str">
        <f>IF(AND('Mapa final'!$Z$75="Baja",'Mapa final'!$AB$75="Moderado"),CONCATENATE("R9C",'Mapa final'!$P$75),"")</f>
        <v/>
      </c>
      <c r="Z44" s="25" t="str">
        <f>IF(AND('Mapa final'!$Z$76="Baja",'Mapa final'!$AB$76="Moderado"),CONCATENATE("R9C",'Mapa final'!$P$76),"")</f>
        <v/>
      </c>
      <c r="AA44" s="26" t="str">
        <f>IF(AND('Mapa final'!$Z$77="Baja",'Mapa final'!$AB$77="Moderado"),CONCATENATE("R9C",'Mapa final'!$P$77),"")</f>
        <v/>
      </c>
      <c r="AB44" s="9" t="str">
        <f>IF(AND('Mapa final'!$Z$72="Baja",'Mapa final'!$AB$72="Mayor"),CONCATENATE("R9C",'Mapa final'!$P$72),"")</f>
        <v/>
      </c>
      <c r="AC44" s="10" t="str">
        <f>IF(AND('Mapa final'!$Z$73="Baja",'Mapa final'!$AB$73="Mayor"),CONCATENATE("R9C",'Mapa final'!$P$73),"")</f>
        <v/>
      </c>
      <c r="AD44" s="10" t="str">
        <f>IF(AND('Mapa final'!$Z$74="Baja",'Mapa final'!$AB$74="Mayor"),CONCATENATE("R9C",'Mapa final'!$P$74),"")</f>
        <v/>
      </c>
      <c r="AE44" s="10" t="str">
        <f>IF(AND('Mapa final'!$Z$75="Baja",'Mapa final'!$AB$75="Mayor"),CONCATENATE("R9C",'Mapa final'!$P$75),"")</f>
        <v/>
      </c>
      <c r="AF44" s="10" t="str">
        <f>IF(AND('Mapa final'!$Z$76="Baja",'Mapa final'!$AB$76="Mayor"),CONCATENATE("R9C",'Mapa final'!$P$76),"")</f>
        <v/>
      </c>
      <c r="AG44" s="11" t="str">
        <f>IF(AND('Mapa final'!$Z$77="Baja",'Mapa final'!$AB$77="Mayor"),CONCATENATE("R9C",'Mapa final'!$P$77),"")</f>
        <v/>
      </c>
      <c r="AH44" s="12" t="str">
        <f>IF(AND('Mapa final'!$Z$72="Baja",'Mapa final'!$AB$72="Catastrófico"),CONCATENATE("R9C",'Mapa final'!$P$72),"")</f>
        <v/>
      </c>
      <c r="AI44" s="13" t="str">
        <f>IF(AND('Mapa final'!$Z$73="Baja",'Mapa final'!$AB$73="Catastrófico"),CONCATENATE("R9C",'Mapa final'!$P$73),"")</f>
        <v/>
      </c>
      <c r="AJ44" s="13" t="str">
        <f>IF(AND('Mapa final'!$Z$74="Baja",'Mapa final'!$AB$74="Catastrófico"),CONCATENATE("R9C",'Mapa final'!$P$74),"")</f>
        <v/>
      </c>
      <c r="AK44" s="13" t="str">
        <f>IF(AND('Mapa final'!$Z$75="Baja",'Mapa final'!$AB$75="Catastrófico"),CONCATENATE("R9C",'Mapa final'!$P$75),"")</f>
        <v/>
      </c>
      <c r="AL44" s="13" t="str">
        <f>IF(AND('Mapa final'!$Z$76="Baja",'Mapa final'!$AB$76="Catastrófico"),CONCATENATE("R9C",'Mapa final'!$P$76),"")</f>
        <v/>
      </c>
      <c r="AM44" s="14" t="str">
        <f>IF(AND('Mapa final'!$Z$77="Baja",'Mapa final'!$AB$77="Catastrófico"),CONCATENATE("R9C",'Mapa final'!$P$77),"")</f>
        <v/>
      </c>
      <c r="AN44" s="40"/>
      <c r="AO44" s="478"/>
      <c r="AP44" s="479"/>
      <c r="AQ44" s="479"/>
      <c r="AR44" s="479"/>
      <c r="AS44" s="479"/>
      <c r="AT44" s="48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row>
    <row r="45" spans="1:80" ht="15.75" customHeight="1" thickBot="1" x14ac:dyDescent="0.3">
      <c r="A45" s="40"/>
      <c r="B45" s="359"/>
      <c r="C45" s="359"/>
      <c r="D45" s="360"/>
      <c r="E45" s="459"/>
      <c r="F45" s="460"/>
      <c r="G45" s="460"/>
      <c r="H45" s="460"/>
      <c r="I45" s="460"/>
      <c r="J45" s="36" t="str">
        <f>IF(AND('Mapa final'!$Z$78="Baja",'Mapa final'!$AB$78="Leve"),CONCATENATE("R10C",'Mapa final'!$P$78),"")</f>
        <v/>
      </c>
      <c r="K45" s="37" t="str">
        <f>IF(AND('Mapa final'!$Z$79="Baja",'Mapa final'!$AB$79="Leve"),CONCATENATE("R10C",'Mapa final'!$P$79),"")</f>
        <v/>
      </c>
      <c r="L45" s="37" t="str">
        <f>IF(AND('Mapa final'!$Z$80="Baja",'Mapa final'!$AB$80="Leve"),CONCATENATE("R10C",'Mapa final'!$P$80),"")</f>
        <v/>
      </c>
      <c r="M45" s="37" t="str">
        <f>IF(AND('Mapa final'!$Z$81="Baja",'Mapa final'!$AB$81="Leve"),CONCATENATE("R10C",'Mapa final'!$P$81),"")</f>
        <v/>
      </c>
      <c r="N45" s="37" t="str">
        <f>IF(AND('Mapa final'!$Z$82="Baja",'Mapa final'!$AB$82="Leve"),CONCATENATE("R10C",'Mapa final'!$P$82),"")</f>
        <v/>
      </c>
      <c r="O45" s="38" t="str">
        <f>IF(AND('Mapa final'!$Z$83="Baja",'Mapa final'!$AB$83="Leve"),CONCATENATE("R10C",'Mapa final'!$P$83),"")</f>
        <v/>
      </c>
      <c r="P45" s="24" t="str">
        <f>IF(AND('Mapa final'!$Z$78="Baja",'Mapa final'!$AB$78="Menor"),CONCATENATE("R10C",'Mapa final'!$P$78),"")</f>
        <v/>
      </c>
      <c r="Q45" s="25" t="str">
        <f>IF(AND('Mapa final'!$Z$79="Baja",'Mapa final'!$AB$79="Menor"),CONCATENATE("R10C",'Mapa final'!$P$79),"")</f>
        <v/>
      </c>
      <c r="R45" s="25" t="str">
        <f>IF(AND('Mapa final'!$Z$80="Baja",'Mapa final'!$AB$80="Menor"),CONCATENATE("R10C",'Mapa final'!$P$80),"")</f>
        <v/>
      </c>
      <c r="S45" s="25" t="str">
        <f>IF(AND('Mapa final'!$Z$81="Baja",'Mapa final'!$AB$81="Menor"),CONCATENATE("R10C",'Mapa final'!$P$81),"")</f>
        <v/>
      </c>
      <c r="T45" s="25" t="str">
        <f>IF(AND('Mapa final'!$Z$82="Baja",'Mapa final'!$AB$82="Menor"),CONCATENATE("R10C",'Mapa final'!$P$82),"")</f>
        <v/>
      </c>
      <c r="U45" s="26" t="str">
        <f>IF(AND('Mapa final'!$Z$83="Baja",'Mapa final'!$AB$83="Menor"),CONCATENATE("R10C",'Mapa final'!$P$83),"")</f>
        <v/>
      </c>
      <c r="V45" s="27" t="str">
        <f>IF(AND('Mapa final'!$Z$78="Baja",'Mapa final'!$AB$78="Moderado"),CONCATENATE("R10C",'Mapa final'!$P$78),"")</f>
        <v/>
      </c>
      <c r="W45" s="28" t="str">
        <f>IF(AND('Mapa final'!$Z$79="Baja",'Mapa final'!$AB$79="Moderado"),CONCATENATE("R10C",'Mapa final'!$P$79),"")</f>
        <v/>
      </c>
      <c r="X45" s="28" t="str">
        <f>IF(AND('Mapa final'!$Z$80="Baja",'Mapa final'!$AB$80="Moderado"),CONCATENATE("R10C",'Mapa final'!$P$80),"")</f>
        <v/>
      </c>
      <c r="Y45" s="28" t="str">
        <f>IF(AND('Mapa final'!$Z$81="Baja",'Mapa final'!$AB$81="Moderado"),CONCATENATE("R10C",'Mapa final'!$P$81),"")</f>
        <v/>
      </c>
      <c r="Z45" s="28" t="str">
        <f>IF(AND('Mapa final'!$Z$82="Baja",'Mapa final'!$AB$82="Moderado"),CONCATENATE("R10C",'Mapa final'!$P$82),"")</f>
        <v/>
      </c>
      <c r="AA45" s="29" t="str">
        <f>IF(AND('Mapa final'!$Z$83="Baja",'Mapa final'!$AB$83="Moderado"),CONCATENATE("R10C",'Mapa final'!$P$83),"")</f>
        <v/>
      </c>
      <c r="AB45" s="15" t="str">
        <f>IF(AND('Mapa final'!$Z$78="Baja",'Mapa final'!$AB$78="Mayor"),CONCATENATE("R10C",'Mapa final'!$P$78),"")</f>
        <v/>
      </c>
      <c r="AC45" s="16" t="str">
        <f>IF(AND('Mapa final'!$Z$79="Baja",'Mapa final'!$AB$79="Mayor"),CONCATENATE("R10C",'Mapa final'!$P$79),"")</f>
        <v/>
      </c>
      <c r="AD45" s="16" t="str">
        <f>IF(AND('Mapa final'!$Z$80="Baja",'Mapa final'!$AB$80="Mayor"),CONCATENATE("R10C",'Mapa final'!$P$80),"")</f>
        <v/>
      </c>
      <c r="AE45" s="16" t="str">
        <f>IF(AND('Mapa final'!$Z$81="Baja",'Mapa final'!$AB$81="Mayor"),CONCATENATE("R10C",'Mapa final'!$P$81),"")</f>
        <v/>
      </c>
      <c r="AF45" s="16" t="str">
        <f>IF(AND('Mapa final'!$Z$82="Baja",'Mapa final'!$AB$82="Mayor"),CONCATENATE("R10C",'Mapa final'!$P$82),"")</f>
        <v/>
      </c>
      <c r="AG45" s="17" t="str">
        <f>IF(AND('Mapa final'!$Z$83="Baja",'Mapa final'!$AB$83="Mayor"),CONCATENATE("R10C",'Mapa final'!$P$83),"")</f>
        <v/>
      </c>
      <c r="AH45" s="18" t="str">
        <f>IF(AND('Mapa final'!$Z$78="Baja",'Mapa final'!$AB$78="Catastrófico"),CONCATENATE("R10C",'Mapa final'!$P$78),"")</f>
        <v/>
      </c>
      <c r="AI45" s="19" t="str">
        <f>IF(AND('Mapa final'!$Z$79="Baja",'Mapa final'!$AB$79="Catastrófico"),CONCATENATE("R10C",'Mapa final'!$P$79),"")</f>
        <v/>
      </c>
      <c r="AJ45" s="19" t="str">
        <f>IF(AND('Mapa final'!$Z$80="Baja",'Mapa final'!$AB$80="Catastrófico"),CONCATENATE("R10C",'Mapa final'!$P$80),"")</f>
        <v/>
      </c>
      <c r="AK45" s="19" t="str">
        <f>IF(AND('Mapa final'!$Z$81="Baja",'Mapa final'!$AB$81="Catastrófico"),CONCATENATE("R10C",'Mapa final'!$P$81),"")</f>
        <v/>
      </c>
      <c r="AL45" s="19" t="str">
        <f>IF(AND('Mapa final'!$Z$82="Baja",'Mapa final'!$AB$82="Catastrófico"),CONCATENATE("R10C",'Mapa final'!$P$82),"")</f>
        <v/>
      </c>
      <c r="AM45" s="20" t="str">
        <f>IF(AND('Mapa final'!$Z$83="Baja",'Mapa final'!$AB$83="Catastrófico"),CONCATENATE("R10C",'Mapa final'!$P$83),"")</f>
        <v/>
      </c>
      <c r="AN45" s="40"/>
      <c r="AO45" s="481"/>
      <c r="AP45" s="482"/>
      <c r="AQ45" s="482"/>
      <c r="AR45" s="482"/>
      <c r="AS45" s="482"/>
      <c r="AT45" s="483"/>
    </row>
    <row r="46" spans="1:80" ht="46.5" customHeight="1" x14ac:dyDescent="0.35">
      <c r="A46" s="40"/>
      <c r="B46" s="359"/>
      <c r="C46" s="359"/>
      <c r="D46" s="360"/>
      <c r="E46" s="454" t="s">
        <v>646</v>
      </c>
      <c r="F46" s="455"/>
      <c r="G46" s="455"/>
      <c r="H46" s="455"/>
      <c r="I46" s="472"/>
      <c r="J46" s="30" t="str">
        <f>IF(AND('Mapa final'!$Z$20="Muy Baja",'Mapa final'!$AB$20="Leve"),CONCATENATE("R1C",'Mapa final'!$P$20),"")</f>
        <v/>
      </c>
      <c r="K46" s="31" t="str">
        <f>IF(AND('Mapa final'!$Z$21="Muy Baja",'Mapa final'!$AB$21="Leve"),CONCATENATE("R1C",'Mapa final'!$P$21),"")</f>
        <v/>
      </c>
      <c r="L46" s="31" t="str">
        <f>IF(AND('Mapa final'!$Z$22="Muy Baja",'Mapa final'!$AB$22="Leve"),CONCATENATE("R1C",'Mapa final'!$P$22),"")</f>
        <v/>
      </c>
      <c r="M46" s="31" t="str">
        <f>IF(AND('Mapa final'!$Z$23="Muy Baja",'Mapa final'!$AB$23="Leve"),CONCATENATE("R1C",'Mapa final'!$P$23),"")</f>
        <v/>
      </c>
      <c r="N46" s="31" t="str">
        <f>IF(AND('Mapa final'!$Z$24="Muy Baja",'Mapa final'!$AB$24="Leve"),CONCATENATE("R1C",'Mapa final'!$P$24),"")</f>
        <v/>
      </c>
      <c r="O46" s="32" t="str">
        <f>IF(AND('Mapa final'!$Z$25="Muy Baja",'Mapa final'!$AB$25="Leve"),CONCATENATE("R1C",'Mapa final'!$P$25),"")</f>
        <v/>
      </c>
      <c r="P46" s="30" t="str">
        <f>IF(AND('Mapa final'!$Z$20="Muy Baja",'Mapa final'!$AB$20="Menor"),CONCATENATE("R1C",'Mapa final'!$P$20),"")</f>
        <v/>
      </c>
      <c r="Q46" s="31" t="str">
        <f>IF(AND('Mapa final'!$Z$21="Muy Baja",'Mapa final'!$AB$21="Menor"),CONCATENATE("R1C",'Mapa final'!$P$21),"")</f>
        <v/>
      </c>
      <c r="R46" s="31" t="str">
        <f>IF(AND('Mapa final'!$Z$22="Muy Baja",'Mapa final'!$AB$22="Menor"),CONCATENATE("R1C",'Mapa final'!$P$22),"")</f>
        <v/>
      </c>
      <c r="S46" s="31" t="str">
        <f>IF(AND('Mapa final'!$Z$23="Muy Baja",'Mapa final'!$AB$23="Menor"),CONCATENATE("R1C",'Mapa final'!$P$23),"")</f>
        <v/>
      </c>
      <c r="T46" s="31" t="str">
        <f>IF(AND('Mapa final'!$Z$24="Muy Baja",'Mapa final'!$AB$24="Menor"),CONCATENATE("R1C",'Mapa final'!$P$24),"")</f>
        <v/>
      </c>
      <c r="U46" s="32" t="str">
        <f>IF(AND('Mapa final'!$Z$25="Muy Baja",'Mapa final'!$AB$25="Menor"),CONCATENATE("R1C",'Mapa final'!$P$25),"")</f>
        <v/>
      </c>
      <c r="V46" s="21" t="str">
        <f>IF(AND('Mapa final'!$Z$20="Muy Baja",'Mapa final'!$AB$20="Moderado"),CONCATENATE("R1C",'Mapa final'!$P$20),"")</f>
        <v/>
      </c>
      <c r="W46" s="39" t="str">
        <f>IF(AND('Mapa final'!$Z$21="Muy Baja",'Mapa final'!$AB$21="Moderado"),CONCATENATE("R1C",'Mapa final'!$P$21),"")</f>
        <v/>
      </c>
      <c r="X46" s="22" t="str">
        <f>IF(AND('Mapa final'!$Z$22="Muy Baja",'Mapa final'!$AB$22="Moderado"),CONCATENATE("R1C",'Mapa final'!$P$22),"")</f>
        <v/>
      </c>
      <c r="Y46" s="22" t="str">
        <f>IF(AND('Mapa final'!$Z$23="Muy Baja",'Mapa final'!$AB$23="Moderado"),CONCATENATE("R1C",'Mapa final'!$P$23),"")</f>
        <v/>
      </c>
      <c r="Z46" s="22" t="str">
        <f>IF(AND('Mapa final'!$Z$24="Muy Baja",'Mapa final'!$AB$24="Moderado"),CONCATENATE("R1C",'Mapa final'!$P$24),"")</f>
        <v/>
      </c>
      <c r="AA46" s="23" t="str">
        <f>IF(AND('Mapa final'!$Z$25="Muy Baja",'Mapa final'!$AB$25="Moderado"),CONCATENATE("R1C",'Mapa final'!$P$25),"")</f>
        <v/>
      </c>
      <c r="AB46" s="3" t="str">
        <f>IF(AND('Mapa final'!$Z$20="Muy Baja",'Mapa final'!$AB$20="Mayor"),CONCATENATE("R1C",'Mapa final'!$P$20),"")</f>
        <v/>
      </c>
      <c r="AC46" s="4" t="str">
        <f>IF(AND('Mapa final'!$Z$21="Muy Baja",'Mapa final'!$AB$21="Mayor"),CONCATENATE("R1C",'Mapa final'!$P$21),"")</f>
        <v/>
      </c>
      <c r="AD46" s="4" t="str">
        <f>IF(AND('Mapa final'!$Z$22="Muy Baja",'Mapa final'!$AB$22="Mayor"),CONCATENATE("R1C",'Mapa final'!$P$22),"")</f>
        <v/>
      </c>
      <c r="AE46" s="4" t="str">
        <f>IF(AND('Mapa final'!$Z$23="Muy Baja",'Mapa final'!$AB$23="Mayor"),CONCATENATE("R1C",'Mapa final'!$P$23),"")</f>
        <v/>
      </c>
      <c r="AF46" s="4" t="str">
        <f>IF(AND('Mapa final'!$Z$24="Muy Baja",'Mapa final'!$AB$24="Mayor"),CONCATENATE("R1C",'Mapa final'!$P$24),"")</f>
        <v/>
      </c>
      <c r="AG46" s="5" t="str">
        <f>IF(AND('Mapa final'!$Z$25="Muy Baja",'Mapa final'!$AB$25="Mayor"),CONCATENATE("R1C",'Mapa final'!$P$25),"")</f>
        <v/>
      </c>
      <c r="AH46" s="6" t="str">
        <f>IF(AND('Mapa final'!$Z$20="Muy Baja",'Mapa final'!$AB$20="Catastrófico"),CONCATENATE("R1C",'Mapa final'!$P$20),"")</f>
        <v/>
      </c>
      <c r="AI46" s="7" t="str">
        <f>IF(AND('Mapa final'!$Z$21="Muy Baja",'Mapa final'!$AB$21="Catastrófico"),CONCATENATE("R1C",'Mapa final'!$P$21),"")</f>
        <v/>
      </c>
      <c r="AJ46" s="7" t="str">
        <f>IF(AND('Mapa final'!$Z$22="Muy Baja",'Mapa final'!$AB$22="Catastrófico"),CONCATENATE("R1C",'Mapa final'!$P$22),"")</f>
        <v/>
      </c>
      <c r="AK46" s="7" t="str">
        <f>IF(AND('Mapa final'!$Z$23="Muy Baja",'Mapa final'!$AB$23="Catastrófico"),CONCATENATE("R1C",'Mapa final'!$P$23),"")</f>
        <v/>
      </c>
      <c r="AL46" s="7" t="str">
        <f>IF(AND('Mapa final'!$Z$24="Muy Baja",'Mapa final'!$AB$24="Catastrófico"),CONCATENATE("R1C",'Mapa final'!$P$24),"")</f>
        <v/>
      </c>
      <c r="AM46" s="8" t="str">
        <f>IF(AND('Mapa final'!$Z$25="Muy Baja",'Mapa final'!$AB$25="Catastrófico"),CONCATENATE("R1C",'Mapa final'!$P$25),"")</f>
        <v/>
      </c>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row>
    <row r="47" spans="1:80" ht="46.5" customHeight="1" x14ac:dyDescent="0.25">
      <c r="A47" s="40"/>
      <c r="B47" s="359"/>
      <c r="C47" s="359"/>
      <c r="D47" s="360"/>
      <c r="E47" s="456"/>
      <c r="F47" s="457"/>
      <c r="G47" s="457"/>
      <c r="H47" s="457"/>
      <c r="I47" s="473"/>
      <c r="J47" s="33" t="str">
        <f>IF(AND('Mapa final'!$Z$32="Muy Baja",'Mapa final'!$AB$32="Leve"),CONCATENATE("R2C",'Mapa final'!$P$32),"")</f>
        <v/>
      </c>
      <c r="K47" s="34" t="str">
        <f>IF(AND('Mapa final'!$Z$33="Muy Baja",'Mapa final'!$AB$33="Leve"),CONCATENATE("R2C",'Mapa final'!$P$33),"")</f>
        <v/>
      </c>
      <c r="L47" s="34" t="str">
        <f>IF(AND('Mapa final'!$Z$34="Muy Baja",'Mapa final'!$AB$34="Leve"),CONCATENATE("R2C",'Mapa final'!$P$34),"")</f>
        <v/>
      </c>
      <c r="M47" s="34" t="str">
        <f>IF(AND('Mapa final'!$Z$35="Muy Baja",'Mapa final'!$AB$35="Leve"),CONCATENATE("R2C",'Mapa final'!$P$35),"")</f>
        <v/>
      </c>
      <c r="N47" s="34" t="e">
        <f>IF(AND('Mapa final'!#REF!="Muy Baja",'Mapa final'!#REF!="Leve"),CONCATENATE("R2C",'Mapa final'!#REF!),"")</f>
        <v>#REF!</v>
      </c>
      <c r="O47" s="35" t="e">
        <f>IF(AND('Mapa final'!#REF!="Muy Baja",'Mapa final'!#REF!="Leve"),CONCATENATE("R2C",'Mapa final'!#REF!),"")</f>
        <v>#REF!</v>
      </c>
      <c r="P47" s="33" t="str">
        <f>IF(AND('Mapa final'!$Z$32="Muy Baja",'Mapa final'!$AB$32="Menor"),CONCATENATE("R2C",'Mapa final'!$P$32),"")</f>
        <v/>
      </c>
      <c r="Q47" s="34" t="str">
        <f>IF(AND('Mapa final'!$Z$33="Muy Baja",'Mapa final'!$AB$33="Menor"),CONCATENATE("R2C",'Mapa final'!$P$33),"")</f>
        <v/>
      </c>
      <c r="R47" s="34" t="str">
        <f>IF(AND('Mapa final'!$Z$34="Muy Baja",'Mapa final'!$AB$34="Menor"),CONCATENATE("R2C",'Mapa final'!$P$34),"")</f>
        <v/>
      </c>
      <c r="S47" s="34" t="str">
        <f>IF(AND('Mapa final'!$Z$35="Muy Baja",'Mapa final'!$AB$35="Menor"),CONCATENATE("R2C",'Mapa final'!$P$35),"")</f>
        <v/>
      </c>
      <c r="T47" s="34" t="e">
        <f>IF(AND('Mapa final'!#REF!="Muy Baja",'Mapa final'!#REF!="Menor"),CONCATENATE("R2C",'Mapa final'!#REF!),"")</f>
        <v>#REF!</v>
      </c>
      <c r="U47" s="35" t="e">
        <f>IF(AND('Mapa final'!#REF!="Muy Baja",'Mapa final'!#REF!="Menor"),CONCATENATE("R2C",'Mapa final'!#REF!),"")</f>
        <v>#REF!</v>
      </c>
      <c r="V47" s="24" t="str">
        <f>IF(AND('Mapa final'!$Z$32="Muy Baja",'Mapa final'!$AB$32="Moderado"),CONCATENATE("R2C",'Mapa final'!$P$32),"")</f>
        <v/>
      </c>
      <c r="W47" s="25" t="str">
        <f>IF(AND('Mapa final'!$Z$33="Muy Baja",'Mapa final'!$AB$33="Moderado"),CONCATENATE("R2C",'Mapa final'!$P$33),"")</f>
        <v/>
      </c>
      <c r="X47" s="25" t="str">
        <f>IF(AND('Mapa final'!$Z$34="Muy Baja",'Mapa final'!$AB$34="Moderado"),CONCATENATE("R2C",'Mapa final'!$P$34),"")</f>
        <v/>
      </c>
      <c r="Y47" s="25" t="str">
        <f>IF(AND('Mapa final'!$Z$35="Muy Baja",'Mapa final'!$AB$35="Moderado"),CONCATENATE("R2C",'Mapa final'!$P$35),"")</f>
        <v/>
      </c>
      <c r="Z47" s="25" t="e">
        <f>IF(AND('Mapa final'!#REF!="Muy Baja",'Mapa final'!#REF!="Moderado"),CONCATENATE("R2C",'Mapa final'!#REF!),"")</f>
        <v>#REF!</v>
      </c>
      <c r="AA47" s="26" t="e">
        <f>IF(AND('Mapa final'!#REF!="Muy Baja",'Mapa final'!#REF!="Moderado"),CONCATENATE("R2C",'Mapa final'!#REF!),"")</f>
        <v>#REF!</v>
      </c>
      <c r="AB47" s="9" t="str">
        <f>IF(AND('Mapa final'!$Z$32="Muy Baja",'Mapa final'!$AB$32="Mayor"),CONCATENATE("R2C",'Mapa final'!$P$32),"")</f>
        <v/>
      </c>
      <c r="AC47" s="10" t="str">
        <f>IF(AND('Mapa final'!$Z$33="Muy Baja",'Mapa final'!$AB$33="Mayor"),CONCATENATE("R2C",'Mapa final'!$P$33),"")</f>
        <v/>
      </c>
      <c r="AD47" s="10" t="str">
        <f>IF(AND('Mapa final'!$Z$34="Muy Baja",'Mapa final'!$AB$34="Mayor"),CONCATENATE("R2C",'Mapa final'!$P$34),"")</f>
        <v/>
      </c>
      <c r="AE47" s="10" t="str">
        <f>IF(AND('Mapa final'!$Z$35="Muy Baja",'Mapa final'!$AB$35="Mayor"),CONCATENATE("R2C",'Mapa final'!$P$35),"")</f>
        <v/>
      </c>
      <c r="AF47" s="10" t="e">
        <f>IF(AND('Mapa final'!#REF!="Muy Baja",'Mapa final'!#REF!="Mayor"),CONCATENATE("R2C",'Mapa final'!#REF!),"")</f>
        <v>#REF!</v>
      </c>
      <c r="AG47" s="11" t="e">
        <f>IF(AND('Mapa final'!#REF!="Muy Baja",'Mapa final'!#REF!="Mayor"),CONCATENATE("R2C",'Mapa final'!#REF!),"")</f>
        <v>#REF!</v>
      </c>
      <c r="AH47" s="12" t="str">
        <f>IF(AND('Mapa final'!$Z$32="Muy Baja",'Mapa final'!$AB$32="Catastrófico"),CONCATENATE("R2C",'Mapa final'!$P$32),"")</f>
        <v/>
      </c>
      <c r="AI47" s="13" t="str">
        <f>IF(AND('Mapa final'!$Z$33="Muy Baja",'Mapa final'!$AB$33="Catastrófico"),CONCATENATE("R2C",'Mapa final'!$P$33),"")</f>
        <v/>
      </c>
      <c r="AJ47" s="13" t="str">
        <f>IF(AND('Mapa final'!$Z$34="Muy Baja",'Mapa final'!$AB$34="Catastrófico"),CONCATENATE("R2C",'Mapa final'!$P$34),"")</f>
        <v/>
      </c>
      <c r="AK47" s="13" t="str">
        <f>IF(AND('Mapa final'!$Z$35="Muy Baja",'Mapa final'!$AB$35="Catastrófico"),CONCATENATE("R2C",'Mapa final'!$P$35),"")</f>
        <v/>
      </c>
      <c r="AL47" s="13" t="e">
        <f>IF(AND('Mapa final'!#REF!="Muy Baja",'Mapa final'!#REF!="Catastrófico"),CONCATENATE("R2C",'Mapa final'!#REF!),"")</f>
        <v>#REF!</v>
      </c>
      <c r="AM47" s="14" t="e">
        <f>IF(AND('Mapa final'!#REF!="Muy Baja",'Mapa final'!#REF!="Catastrófico"),CONCATENATE("R2C",'Mapa final'!#REF!),"")</f>
        <v>#REF!</v>
      </c>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row>
    <row r="48" spans="1:80" ht="15" customHeight="1" x14ac:dyDescent="0.25">
      <c r="A48" s="40"/>
      <c r="B48" s="359"/>
      <c r="C48" s="359"/>
      <c r="D48" s="360"/>
      <c r="E48" s="456"/>
      <c r="F48" s="457"/>
      <c r="G48" s="457"/>
      <c r="H48" s="457"/>
      <c r="I48" s="473"/>
      <c r="J48" s="33" t="str">
        <f>IF(AND('Mapa final'!$Z$36="Muy Baja",'Mapa final'!$AB$36="Leve"),CONCATENATE("R3C",'Mapa final'!$P$36),"")</f>
        <v/>
      </c>
      <c r="K48" s="34" t="str">
        <f>IF(AND('Mapa final'!$Z$37="Muy Baja",'Mapa final'!$AB$37="Leve"),CONCATENATE("R3C",'Mapa final'!$P$37),"")</f>
        <v/>
      </c>
      <c r="L48" s="34" t="str">
        <f>IF(AND('Mapa final'!$Z$38="Muy Baja",'Mapa final'!$AB$38="Leve"),CONCATENATE("R3C",'Mapa final'!$P$38),"")</f>
        <v/>
      </c>
      <c r="M48" s="34" t="str">
        <f>IF(AND('Mapa final'!$Z$39="Muy Baja",'Mapa final'!$AB$39="Leve"),CONCATENATE("R3C",'Mapa final'!$P$39),"")</f>
        <v/>
      </c>
      <c r="N48" s="34" t="str">
        <f>IF(AND('Mapa final'!$Z$40="Muy Baja",'Mapa final'!$AB$40="Leve"),CONCATENATE("R3C",'Mapa final'!$P$40),"")</f>
        <v/>
      </c>
      <c r="O48" s="35" t="str">
        <f>IF(AND('Mapa final'!$Z$41="Muy Baja",'Mapa final'!$AB$41="Leve"),CONCATENATE("R3C",'Mapa final'!$P$41),"")</f>
        <v/>
      </c>
      <c r="P48" s="33" t="str">
        <f>IF(AND('Mapa final'!$Z$36="Muy Baja",'Mapa final'!$AB$36="Menor"),CONCATENATE("R3C",'Mapa final'!$P$36),"")</f>
        <v/>
      </c>
      <c r="Q48" s="34" t="str">
        <f>IF(AND('Mapa final'!$Z$37="Muy Baja",'Mapa final'!$AB$37="Menor"),CONCATENATE("R3C",'Mapa final'!$P$37),"")</f>
        <v/>
      </c>
      <c r="R48" s="34" t="str">
        <f>IF(AND('Mapa final'!$Z$38="Muy Baja",'Mapa final'!$AB$38="Menor"),CONCATENATE("R3C",'Mapa final'!$P$38),"")</f>
        <v/>
      </c>
      <c r="S48" s="34" t="str">
        <f>IF(AND('Mapa final'!$Z$39="Muy Baja",'Mapa final'!$AB$39="Menor"),CONCATENATE("R3C",'Mapa final'!$P$39),"")</f>
        <v/>
      </c>
      <c r="T48" s="34" t="str">
        <f>IF(AND('Mapa final'!$Z$40="Muy Baja",'Mapa final'!$AB$40="Menor"),CONCATENATE("R3C",'Mapa final'!$P$40),"")</f>
        <v/>
      </c>
      <c r="U48" s="35" t="str">
        <f>IF(AND('Mapa final'!$Z$41="Muy Baja",'Mapa final'!$AB$41="Menor"),CONCATENATE("R3C",'Mapa final'!$P$41),"")</f>
        <v/>
      </c>
      <c r="V48" s="24" t="str">
        <f>IF(AND('Mapa final'!$Z$36="Muy Baja",'Mapa final'!$AB$36="Moderado"),CONCATENATE("R3C",'Mapa final'!$P$36),"")</f>
        <v/>
      </c>
      <c r="W48" s="25" t="str">
        <f>IF(AND('Mapa final'!$Z$37="Muy Baja",'Mapa final'!$AB$37="Moderado"),CONCATENATE("R3C",'Mapa final'!$P$37),"")</f>
        <v/>
      </c>
      <c r="X48" s="25" t="str">
        <f>IF(AND('Mapa final'!$Z$38="Muy Baja",'Mapa final'!$AB$38="Moderado"),CONCATENATE("R3C",'Mapa final'!$P$38),"")</f>
        <v/>
      </c>
      <c r="Y48" s="25" t="str">
        <f>IF(AND('Mapa final'!$Z$39="Muy Baja",'Mapa final'!$AB$39="Moderado"),CONCATENATE("R3C",'Mapa final'!$P$39),"")</f>
        <v/>
      </c>
      <c r="Z48" s="25" t="str">
        <f>IF(AND('Mapa final'!$Z$40="Muy Baja",'Mapa final'!$AB$40="Moderado"),CONCATENATE("R3C",'Mapa final'!$P$40),"")</f>
        <v/>
      </c>
      <c r="AA48" s="26" t="str">
        <f>IF(AND('Mapa final'!$Z$41="Muy Baja",'Mapa final'!$AB$41="Moderado"),CONCATENATE("R3C",'Mapa final'!$P$41),"")</f>
        <v/>
      </c>
      <c r="AB48" s="9" t="str">
        <f>IF(AND('Mapa final'!$Z$36="Muy Baja",'Mapa final'!$AB$36="Mayor"),CONCATENATE("R3C",'Mapa final'!$P$36),"")</f>
        <v/>
      </c>
      <c r="AC48" s="10" t="str">
        <f>IF(AND('Mapa final'!$Z$37="Muy Baja",'Mapa final'!$AB$37="Mayor"),CONCATENATE("R3C",'Mapa final'!$P$37),"")</f>
        <v/>
      </c>
      <c r="AD48" s="10" t="str">
        <f>IF(AND('Mapa final'!$Z$38="Muy Baja",'Mapa final'!$AB$38="Mayor"),CONCATENATE("R3C",'Mapa final'!$P$38),"")</f>
        <v/>
      </c>
      <c r="AE48" s="10" t="str">
        <f>IF(AND('Mapa final'!$Z$39="Muy Baja",'Mapa final'!$AB$39="Mayor"),CONCATENATE("R3C",'Mapa final'!$P$39),"")</f>
        <v/>
      </c>
      <c r="AF48" s="10" t="str">
        <f>IF(AND('Mapa final'!$Z$40="Muy Baja",'Mapa final'!$AB$40="Mayor"),CONCATENATE("R3C",'Mapa final'!$P$40),"")</f>
        <v/>
      </c>
      <c r="AG48" s="11" t="str">
        <f>IF(AND('Mapa final'!$Z$41="Muy Baja",'Mapa final'!$AB$41="Mayor"),CONCATENATE("R3C",'Mapa final'!$P$41),"")</f>
        <v/>
      </c>
      <c r="AH48" s="12" t="str">
        <f>IF(AND('Mapa final'!$Z$36="Muy Baja",'Mapa final'!$AB$36="Catastrófico"),CONCATENATE("R3C",'Mapa final'!$P$36),"")</f>
        <v/>
      </c>
      <c r="AI48" s="13" t="str">
        <f>IF(AND('Mapa final'!$Z$37="Muy Baja",'Mapa final'!$AB$37="Catastrófico"),CONCATENATE("R3C",'Mapa final'!$P$37),"")</f>
        <v/>
      </c>
      <c r="AJ48" s="13" t="str">
        <f>IF(AND('Mapa final'!$Z$38="Muy Baja",'Mapa final'!$AB$38="Catastrófico"),CONCATENATE("R3C",'Mapa final'!$P$38),"")</f>
        <v/>
      </c>
      <c r="AK48" s="13" t="str">
        <f>IF(AND('Mapa final'!$Z$39="Muy Baja",'Mapa final'!$AB$39="Catastrófico"),CONCATENATE("R3C",'Mapa final'!$P$39),"")</f>
        <v/>
      </c>
      <c r="AL48" s="13" t="str">
        <f>IF(AND('Mapa final'!$Z$40="Muy Baja",'Mapa final'!$AB$40="Catastrófico"),CONCATENATE("R3C",'Mapa final'!$P$40),"")</f>
        <v/>
      </c>
      <c r="AM48" s="14" t="str">
        <f>IF(AND('Mapa final'!$Z$41="Muy Baja",'Mapa final'!$AB$41="Catastrófico"),CONCATENATE("R3C",'Mapa final'!$P$41),"")</f>
        <v/>
      </c>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row>
    <row r="49" spans="1:80" ht="15" customHeight="1" x14ac:dyDescent="0.25">
      <c r="A49" s="40"/>
      <c r="B49" s="359"/>
      <c r="C49" s="359"/>
      <c r="D49" s="360"/>
      <c r="E49" s="458"/>
      <c r="F49" s="457"/>
      <c r="G49" s="457"/>
      <c r="H49" s="457"/>
      <c r="I49" s="473"/>
      <c r="J49" s="33" t="str">
        <f>IF(AND('Mapa final'!$Z$42="Muy Baja",'Mapa final'!$AB$42="Leve"),CONCATENATE("R4C",'Mapa final'!$P$42),"")</f>
        <v/>
      </c>
      <c r="K49" s="34" t="str">
        <f>IF(AND('Mapa final'!$Z$43="Muy Baja",'Mapa final'!$AB$43="Leve"),CONCATENATE("R4C",'Mapa final'!$P$43),"")</f>
        <v/>
      </c>
      <c r="L49" s="34" t="str">
        <f>IF(AND('Mapa final'!$Z$44="Muy Baja",'Mapa final'!$AB$44="Leve"),CONCATENATE("R4C",'Mapa final'!$P$44),"")</f>
        <v/>
      </c>
      <c r="M49" s="34" t="str">
        <f>IF(AND('Mapa final'!$Z$45="Muy Baja",'Mapa final'!$AB$45="Leve"),CONCATENATE("R4C",'Mapa final'!$P$45),"")</f>
        <v/>
      </c>
      <c r="N49" s="34" t="str">
        <f>IF(AND('Mapa final'!$Z$46="Muy Baja",'Mapa final'!$AB$46="Leve"),CONCATENATE("R4C",'Mapa final'!$P$46),"")</f>
        <v/>
      </c>
      <c r="O49" s="35" t="str">
        <f>IF(AND('Mapa final'!$Z$47="Muy Baja",'Mapa final'!$AB$47="Leve"),CONCATENATE("R4C",'Mapa final'!$P$47),"")</f>
        <v/>
      </c>
      <c r="P49" s="33" t="str">
        <f>IF(AND('Mapa final'!$Z$42="Muy Baja",'Mapa final'!$AB$42="Menor"),CONCATENATE("R4C",'Mapa final'!$P$42),"")</f>
        <v/>
      </c>
      <c r="Q49" s="34" t="str">
        <f>IF(AND('Mapa final'!$Z$43="Muy Baja",'Mapa final'!$AB$43="Menor"),CONCATENATE("R4C",'Mapa final'!$P$43),"")</f>
        <v/>
      </c>
      <c r="R49" s="34" t="str">
        <f>IF(AND('Mapa final'!$Z$44="Muy Baja",'Mapa final'!$AB$44="Menor"),CONCATENATE("R4C",'Mapa final'!$P$44),"")</f>
        <v/>
      </c>
      <c r="S49" s="34" t="str">
        <f>IF(AND('Mapa final'!$Z$45="Muy Baja",'Mapa final'!$AB$45="Menor"),CONCATENATE("R4C",'Mapa final'!$P$45),"")</f>
        <v/>
      </c>
      <c r="T49" s="34" t="str">
        <f>IF(AND('Mapa final'!$Z$46="Muy Baja",'Mapa final'!$AB$46="Menor"),CONCATENATE("R4C",'Mapa final'!$P$46),"")</f>
        <v/>
      </c>
      <c r="U49" s="35" t="str">
        <f>IF(AND('Mapa final'!$Z$47="Muy Baja",'Mapa final'!$AB$47="Menor"),CONCATENATE("R4C",'Mapa final'!$P$47),"")</f>
        <v/>
      </c>
      <c r="V49" s="24" t="str">
        <f>IF(AND('Mapa final'!$Z$42="Muy Baja",'Mapa final'!$AB$42="Moderado"),CONCATENATE("R4C",'Mapa final'!$P$42),"")</f>
        <v/>
      </c>
      <c r="W49" s="25" t="str">
        <f>IF(AND('Mapa final'!$Z$43="Muy Baja",'Mapa final'!$AB$43="Moderado"),CONCATENATE("R4C",'Mapa final'!$P$43),"")</f>
        <v/>
      </c>
      <c r="X49" s="25" t="str">
        <f>IF(AND('Mapa final'!$Z$44="Muy Baja",'Mapa final'!$AB$44="Moderado"),CONCATENATE("R4C",'Mapa final'!$P$44),"")</f>
        <v/>
      </c>
      <c r="Y49" s="25" t="str">
        <f>IF(AND('Mapa final'!$Z$45="Muy Baja",'Mapa final'!$AB$45="Moderado"),CONCATENATE("R4C",'Mapa final'!$P$45),"")</f>
        <v/>
      </c>
      <c r="Z49" s="25" t="str">
        <f>IF(AND('Mapa final'!$Z$46="Muy Baja",'Mapa final'!$AB$46="Moderado"),CONCATENATE("R4C",'Mapa final'!$P$46),"")</f>
        <v/>
      </c>
      <c r="AA49" s="26" t="str">
        <f>IF(AND('Mapa final'!$Z$47="Muy Baja",'Mapa final'!$AB$47="Moderado"),CONCATENATE("R4C",'Mapa final'!$P$47),"")</f>
        <v/>
      </c>
      <c r="AB49" s="9" t="str">
        <f>IF(AND('Mapa final'!$Z$42="Muy Baja",'Mapa final'!$AB$42="Mayor"),CONCATENATE("R4C",'Mapa final'!$P$42),"")</f>
        <v/>
      </c>
      <c r="AC49" s="10" t="str">
        <f>IF(AND('Mapa final'!$Z$43="Muy Baja",'Mapa final'!$AB$43="Mayor"),CONCATENATE("R4C",'Mapa final'!$P$43),"")</f>
        <v/>
      </c>
      <c r="AD49" s="10" t="str">
        <f>IF(AND('Mapa final'!$Z$44="Muy Baja",'Mapa final'!$AB$44="Mayor"),CONCATENATE("R4C",'Mapa final'!$P$44),"")</f>
        <v/>
      </c>
      <c r="AE49" s="10" t="str">
        <f>IF(AND('Mapa final'!$Z$45="Muy Baja",'Mapa final'!$AB$45="Mayor"),CONCATENATE("R4C",'Mapa final'!$P$45),"")</f>
        <v/>
      </c>
      <c r="AF49" s="10" t="str">
        <f>IF(AND('Mapa final'!$Z$46="Muy Baja",'Mapa final'!$AB$46="Mayor"),CONCATENATE("R4C",'Mapa final'!$P$46),"")</f>
        <v/>
      </c>
      <c r="AG49" s="11" t="str">
        <f>IF(AND('Mapa final'!$Z$47="Muy Baja",'Mapa final'!$AB$47="Mayor"),CONCATENATE("R4C",'Mapa final'!$P$47),"")</f>
        <v/>
      </c>
      <c r="AH49" s="12" t="str">
        <f>IF(AND('Mapa final'!$Z$42="Muy Baja",'Mapa final'!$AB$42="Catastrófico"),CONCATENATE("R4C",'Mapa final'!$P$42),"")</f>
        <v/>
      </c>
      <c r="AI49" s="13" t="str">
        <f>IF(AND('Mapa final'!$Z$43="Muy Baja",'Mapa final'!$AB$43="Catastrófico"),CONCATENATE("R4C",'Mapa final'!$P$43),"")</f>
        <v/>
      </c>
      <c r="AJ49" s="13" t="str">
        <f>IF(AND('Mapa final'!$Z$44="Muy Baja",'Mapa final'!$AB$44="Catastrófico"),CONCATENATE("R4C",'Mapa final'!$P$44),"")</f>
        <v/>
      </c>
      <c r="AK49" s="13" t="str">
        <f>IF(AND('Mapa final'!$Z$45="Muy Baja",'Mapa final'!$AB$45="Catastrófico"),CONCATENATE("R4C",'Mapa final'!$P$45),"")</f>
        <v/>
      </c>
      <c r="AL49" s="13" t="str">
        <f>IF(AND('Mapa final'!$Z$46="Muy Baja",'Mapa final'!$AB$46="Catastrófico"),CONCATENATE("R4C",'Mapa final'!$P$46),"")</f>
        <v/>
      </c>
      <c r="AM49" s="14" t="str">
        <f>IF(AND('Mapa final'!$Z$47="Muy Baja",'Mapa final'!$AB$47="Catastrófico"),CONCATENATE("R4C",'Mapa final'!$P$47),"")</f>
        <v/>
      </c>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row>
    <row r="50" spans="1:80" ht="15" customHeight="1" x14ac:dyDescent="0.25">
      <c r="A50" s="40"/>
      <c r="B50" s="359"/>
      <c r="C50" s="359"/>
      <c r="D50" s="360"/>
      <c r="E50" s="458"/>
      <c r="F50" s="457"/>
      <c r="G50" s="457"/>
      <c r="H50" s="457"/>
      <c r="I50" s="473"/>
      <c r="J50" s="33" t="str">
        <f>IF(AND('Mapa final'!$Z$48="Muy Baja",'Mapa final'!$AB$48="Leve"),CONCATENATE("R5C",'Mapa final'!$P$48),"")</f>
        <v/>
      </c>
      <c r="K50" s="34" t="str">
        <f>IF(AND('Mapa final'!$Z$49="Muy Baja",'Mapa final'!$AB$49="Leve"),CONCATENATE("R5C",'Mapa final'!$P$49),"")</f>
        <v/>
      </c>
      <c r="L50" s="34" t="str">
        <f>IF(AND('Mapa final'!$Z$50="Muy Baja",'Mapa final'!$AB$50="Leve"),CONCATENATE("R5C",'Mapa final'!$P$50),"")</f>
        <v/>
      </c>
      <c r="M50" s="34" t="str">
        <f>IF(AND('Mapa final'!$Z$51="Muy Baja",'Mapa final'!$AB$51="Leve"),CONCATENATE("R5C",'Mapa final'!$P$51),"")</f>
        <v/>
      </c>
      <c r="N50" s="34" t="str">
        <f>IF(AND('Mapa final'!$Z$52="Muy Baja",'Mapa final'!$AB$52="Leve"),CONCATENATE("R5C",'Mapa final'!$P$52),"")</f>
        <v/>
      </c>
      <c r="O50" s="35" t="str">
        <f>IF(AND('Mapa final'!$Z$53="Muy Baja",'Mapa final'!$AB$53="Leve"),CONCATENATE("R5C",'Mapa final'!$P$53),"")</f>
        <v/>
      </c>
      <c r="P50" s="33" t="str">
        <f>IF(AND('Mapa final'!$Z$48="Muy Baja",'Mapa final'!$AB$48="Menor"),CONCATENATE("R5C",'Mapa final'!$P$48),"")</f>
        <v/>
      </c>
      <c r="Q50" s="34" t="str">
        <f>IF(AND('Mapa final'!$Z$49="Muy Baja",'Mapa final'!$AB$49="Menor"),CONCATENATE("R5C",'Mapa final'!$P$49),"")</f>
        <v/>
      </c>
      <c r="R50" s="34" t="str">
        <f>IF(AND('Mapa final'!$Z$50="Muy Baja",'Mapa final'!$AB$50="Menor"),CONCATENATE("R5C",'Mapa final'!$P$50),"")</f>
        <v/>
      </c>
      <c r="S50" s="34" t="str">
        <f>IF(AND('Mapa final'!$Z$51="Muy Baja",'Mapa final'!$AB$51="Menor"),CONCATENATE("R5C",'Mapa final'!$P$51),"")</f>
        <v/>
      </c>
      <c r="T50" s="34" t="str">
        <f>IF(AND('Mapa final'!$Z$52="Muy Baja",'Mapa final'!$AB$52="Menor"),CONCATENATE("R5C",'Mapa final'!$P$52),"")</f>
        <v/>
      </c>
      <c r="U50" s="35" t="str">
        <f>IF(AND('Mapa final'!$Z$53="Muy Baja",'Mapa final'!$AB$53="Menor"),CONCATENATE("R5C",'Mapa final'!$P$53),"")</f>
        <v/>
      </c>
      <c r="V50" s="24" t="str">
        <f>IF(AND('Mapa final'!$Z$48="Muy Baja",'Mapa final'!$AB$48="Moderado"),CONCATENATE("R5C",'Mapa final'!$P$48),"")</f>
        <v/>
      </c>
      <c r="W50" s="25" t="str">
        <f>IF(AND('Mapa final'!$Z$49="Muy Baja",'Mapa final'!$AB$49="Moderado"),CONCATENATE("R5C",'Mapa final'!$P$49),"")</f>
        <v/>
      </c>
      <c r="X50" s="25" t="str">
        <f>IF(AND('Mapa final'!$Z$50="Muy Baja",'Mapa final'!$AB$50="Moderado"),CONCATENATE("R5C",'Mapa final'!$P$50),"")</f>
        <v/>
      </c>
      <c r="Y50" s="25" t="str">
        <f>IF(AND('Mapa final'!$Z$51="Muy Baja",'Mapa final'!$AB$51="Moderado"),CONCATENATE("R5C",'Mapa final'!$P$51),"")</f>
        <v/>
      </c>
      <c r="Z50" s="25" t="str">
        <f>IF(AND('Mapa final'!$Z$52="Muy Baja",'Mapa final'!$AB$52="Moderado"),CONCATENATE("R5C",'Mapa final'!$P$52),"")</f>
        <v/>
      </c>
      <c r="AA50" s="26" t="str">
        <f>IF(AND('Mapa final'!$Z$53="Muy Baja",'Mapa final'!$AB$53="Moderado"),CONCATENATE("R5C",'Mapa final'!$P$53),"")</f>
        <v/>
      </c>
      <c r="AB50" s="9" t="str">
        <f>IF(AND('Mapa final'!$Z$48="Muy Baja",'Mapa final'!$AB$48="Mayor"),CONCATENATE("R5C",'Mapa final'!$P$48),"")</f>
        <v/>
      </c>
      <c r="AC50" s="10" t="str">
        <f>IF(AND('Mapa final'!$Z$49="Muy Baja",'Mapa final'!$AB$49="Mayor"),CONCATENATE("R5C",'Mapa final'!$P$49),"")</f>
        <v/>
      </c>
      <c r="AD50" s="10" t="str">
        <f>IF(AND('Mapa final'!$Z$50="Muy Baja",'Mapa final'!$AB$50="Mayor"),CONCATENATE("R5C",'Mapa final'!$P$50),"")</f>
        <v/>
      </c>
      <c r="AE50" s="10" t="str">
        <f>IF(AND('Mapa final'!$Z$51="Muy Baja",'Mapa final'!$AB$51="Mayor"),CONCATENATE("R5C",'Mapa final'!$P$51),"")</f>
        <v/>
      </c>
      <c r="AF50" s="10" t="str">
        <f>IF(AND('Mapa final'!$Z$52="Muy Baja",'Mapa final'!$AB$52="Mayor"),CONCATENATE("R5C",'Mapa final'!$P$52),"")</f>
        <v/>
      </c>
      <c r="AG50" s="11" t="str">
        <f>IF(AND('Mapa final'!$Z$53="Muy Baja",'Mapa final'!$AB$53="Mayor"),CONCATENATE("R5C",'Mapa final'!$P$53),"")</f>
        <v/>
      </c>
      <c r="AH50" s="12" t="str">
        <f>IF(AND('Mapa final'!$Z$48="Muy Baja",'Mapa final'!$AB$48="Catastrófico"),CONCATENATE("R5C",'Mapa final'!$P$48),"")</f>
        <v/>
      </c>
      <c r="AI50" s="13" t="str">
        <f>IF(AND('Mapa final'!$Z$49="Muy Baja",'Mapa final'!$AB$49="Catastrófico"),CONCATENATE("R5C",'Mapa final'!$P$49),"")</f>
        <v/>
      </c>
      <c r="AJ50" s="13" t="str">
        <f>IF(AND('Mapa final'!$Z$50="Muy Baja",'Mapa final'!$AB$50="Catastrófico"),CONCATENATE("R5C",'Mapa final'!$P$50),"")</f>
        <v/>
      </c>
      <c r="AK50" s="13" t="str">
        <f>IF(AND('Mapa final'!$Z$51="Muy Baja",'Mapa final'!$AB$51="Catastrófico"),CONCATENATE("R5C",'Mapa final'!$P$51),"")</f>
        <v/>
      </c>
      <c r="AL50" s="13" t="str">
        <f>IF(AND('Mapa final'!$Z$52="Muy Baja",'Mapa final'!$AB$52="Catastrófico"),CONCATENATE("R5C",'Mapa final'!$P$52),"")</f>
        <v/>
      </c>
      <c r="AM50" s="14" t="str">
        <f>IF(AND('Mapa final'!$Z$53="Muy Baja",'Mapa final'!$AB$53="Catastrófico"),CONCATENATE("R5C",'Mapa final'!$P$53),"")</f>
        <v/>
      </c>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row>
    <row r="51" spans="1:80" ht="15" customHeight="1" x14ac:dyDescent="0.25">
      <c r="A51" s="40"/>
      <c r="B51" s="359"/>
      <c r="C51" s="359"/>
      <c r="D51" s="360"/>
      <c r="E51" s="458"/>
      <c r="F51" s="457"/>
      <c r="G51" s="457"/>
      <c r="H51" s="457"/>
      <c r="I51" s="473"/>
      <c r="J51" s="33" t="str">
        <f>IF(AND('Mapa final'!$Z$54="Muy Baja",'Mapa final'!$AB$54="Leve"),CONCATENATE("R6C",'Mapa final'!$P$54),"")</f>
        <v/>
      </c>
      <c r="K51" s="34" t="str">
        <f>IF(AND('Mapa final'!$Z$55="Muy Baja",'Mapa final'!$AB$55="Leve"),CONCATENATE("R6C",'Mapa final'!$P$55),"")</f>
        <v/>
      </c>
      <c r="L51" s="34" t="str">
        <f>IF(AND('Mapa final'!$Z$56="Muy Baja",'Mapa final'!$AB$56="Leve"),CONCATENATE("R6C",'Mapa final'!$P$56),"")</f>
        <v/>
      </c>
      <c r="M51" s="34" t="str">
        <f>IF(AND('Mapa final'!$Z$57="Muy Baja",'Mapa final'!$AB$57="Leve"),CONCATENATE("R6C",'Mapa final'!$P$57),"")</f>
        <v/>
      </c>
      <c r="N51" s="34" t="str">
        <f>IF(AND('Mapa final'!$Z$58="Muy Baja",'Mapa final'!$AB$58="Leve"),CONCATENATE("R6C",'Mapa final'!$P$58),"")</f>
        <v/>
      </c>
      <c r="O51" s="35" t="str">
        <f>IF(AND('Mapa final'!$Z$59="Muy Baja",'Mapa final'!$AB$59="Leve"),CONCATENATE("R6C",'Mapa final'!$P$59),"")</f>
        <v/>
      </c>
      <c r="P51" s="33" t="str">
        <f>IF(AND('Mapa final'!$Z$54="Muy Baja",'Mapa final'!$AB$54="Menor"),CONCATENATE("R6C",'Mapa final'!$P$54),"")</f>
        <v/>
      </c>
      <c r="Q51" s="34" t="str">
        <f>IF(AND('Mapa final'!$Z$55="Muy Baja",'Mapa final'!$AB$55="Menor"),CONCATENATE("R6C",'Mapa final'!$P$55),"")</f>
        <v/>
      </c>
      <c r="R51" s="34" t="str">
        <f>IF(AND('Mapa final'!$Z$56="Muy Baja",'Mapa final'!$AB$56="Menor"),CONCATENATE("R6C",'Mapa final'!$P$56),"")</f>
        <v/>
      </c>
      <c r="S51" s="34" t="str">
        <f>IF(AND('Mapa final'!$Z$57="Muy Baja",'Mapa final'!$AB$57="Menor"),CONCATENATE("R6C",'Mapa final'!$P$57),"")</f>
        <v/>
      </c>
      <c r="T51" s="34" t="str">
        <f>IF(AND('Mapa final'!$Z$58="Muy Baja",'Mapa final'!$AB$58="Menor"),CONCATENATE("R6C",'Mapa final'!$P$58),"")</f>
        <v/>
      </c>
      <c r="U51" s="35" t="str">
        <f>IF(AND('Mapa final'!$Z$59="Muy Baja",'Mapa final'!$AB$59="Menor"),CONCATENATE("R6C",'Mapa final'!$P$59),"")</f>
        <v/>
      </c>
      <c r="V51" s="24" t="str">
        <f>IF(AND('Mapa final'!$Z$54="Muy Baja",'Mapa final'!$AB$54="Moderado"),CONCATENATE("R6C",'Mapa final'!$P$54),"")</f>
        <v/>
      </c>
      <c r="W51" s="25" t="str">
        <f>IF(AND('Mapa final'!$Z$55="Muy Baja",'Mapa final'!$AB$55="Moderado"),CONCATENATE("R6C",'Mapa final'!$P$55),"")</f>
        <v/>
      </c>
      <c r="X51" s="25" t="str">
        <f>IF(AND('Mapa final'!$Z$56="Muy Baja",'Mapa final'!$AB$56="Moderado"),CONCATENATE("R6C",'Mapa final'!$P$56),"")</f>
        <v/>
      </c>
      <c r="Y51" s="25" t="str">
        <f>IF(AND('Mapa final'!$Z$57="Muy Baja",'Mapa final'!$AB$57="Moderado"),CONCATENATE("R6C",'Mapa final'!$P$57),"")</f>
        <v/>
      </c>
      <c r="Z51" s="25" t="str">
        <f>IF(AND('Mapa final'!$Z$58="Muy Baja",'Mapa final'!$AB$58="Moderado"),CONCATENATE("R6C",'Mapa final'!$P$58),"")</f>
        <v/>
      </c>
      <c r="AA51" s="26" t="str">
        <f>IF(AND('Mapa final'!$Z$59="Muy Baja",'Mapa final'!$AB$59="Moderado"),CONCATENATE("R6C",'Mapa final'!$P$59),"")</f>
        <v/>
      </c>
      <c r="AB51" s="9" t="str">
        <f>IF(AND('Mapa final'!$Z$54="Muy Baja",'Mapa final'!$AB$54="Mayor"),CONCATENATE("R6C",'Mapa final'!$P$54),"")</f>
        <v/>
      </c>
      <c r="AC51" s="10" t="str">
        <f>IF(AND('Mapa final'!$Z$55="Muy Baja",'Mapa final'!$AB$55="Mayor"),CONCATENATE("R6C",'Mapa final'!$P$55),"")</f>
        <v/>
      </c>
      <c r="AD51" s="10" t="str">
        <f>IF(AND('Mapa final'!$Z$56="Muy Baja",'Mapa final'!$AB$56="Mayor"),CONCATENATE("R6C",'Mapa final'!$P$56),"")</f>
        <v/>
      </c>
      <c r="AE51" s="10" t="str">
        <f>IF(AND('Mapa final'!$Z$57="Muy Baja",'Mapa final'!$AB$57="Mayor"),CONCATENATE("R6C",'Mapa final'!$P$57),"")</f>
        <v/>
      </c>
      <c r="AF51" s="10" t="str">
        <f>IF(AND('Mapa final'!$Z$58="Muy Baja",'Mapa final'!$AB$58="Mayor"),CONCATENATE("R6C",'Mapa final'!$P$58),"")</f>
        <v/>
      </c>
      <c r="AG51" s="11" t="str">
        <f>IF(AND('Mapa final'!$Z$59="Muy Baja",'Mapa final'!$AB$59="Mayor"),CONCATENATE("R6C",'Mapa final'!$P$59),"")</f>
        <v/>
      </c>
      <c r="AH51" s="12" t="str">
        <f>IF(AND('Mapa final'!$Z$54="Muy Baja",'Mapa final'!$AB$54="Catastrófico"),CONCATENATE("R6C",'Mapa final'!$P$54),"")</f>
        <v/>
      </c>
      <c r="AI51" s="13" t="str">
        <f>IF(AND('Mapa final'!$Z$55="Muy Baja",'Mapa final'!$AB$55="Catastrófico"),CONCATENATE("R6C",'Mapa final'!$P$55),"")</f>
        <v/>
      </c>
      <c r="AJ51" s="13" t="str">
        <f>IF(AND('Mapa final'!$Z$56="Muy Baja",'Mapa final'!$AB$56="Catastrófico"),CONCATENATE("R6C",'Mapa final'!$P$56),"")</f>
        <v/>
      </c>
      <c r="AK51" s="13" t="str">
        <f>IF(AND('Mapa final'!$Z$57="Muy Baja",'Mapa final'!$AB$57="Catastrófico"),CONCATENATE("R6C",'Mapa final'!$P$57),"")</f>
        <v/>
      </c>
      <c r="AL51" s="13" t="str">
        <f>IF(AND('Mapa final'!$Z$58="Muy Baja",'Mapa final'!$AB$58="Catastrófico"),CONCATENATE("R6C",'Mapa final'!$P$58),"")</f>
        <v/>
      </c>
      <c r="AM51" s="14" t="str">
        <f>IF(AND('Mapa final'!$Z$59="Muy Baja",'Mapa final'!$AB$59="Catastrófico"),CONCATENATE("R6C",'Mapa final'!$P$59),"")</f>
        <v/>
      </c>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row>
    <row r="52" spans="1:80" ht="15" customHeight="1" x14ac:dyDescent="0.25">
      <c r="A52" s="40"/>
      <c r="B52" s="359"/>
      <c r="C52" s="359"/>
      <c r="D52" s="360"/>
      <c r="E52" s="458"/>
      <c r="F52" s="457"/>
      <c r="G52" s="457"/>
      <c r="H52" s="457"/>
      <c r="I52" s="473"/>
      <c r="J52" s="33" t="str">
        <f>IF(AND('Mapa final'!$Z$60="Muy Baja",'Mapa final'!$AB$60="Leve"),CONCATENATE("R7C",'Mapa final'!$P$60),"")</f>
        <v/>
      </c>
      <c r="K52" s="34" t="str">
        <f>IF(AND('Mapa final'!$Z$61="Muy Baja",'Mapa final'!$AB$61="Leve"),CONCATENATE("R7C",'Mapa final'!$P$61),"")</f>
        <v/>
      </c>
      <c r="L52" s="34" t="str">
        <f>IF(AND('Mapa final'!$Z$62="Muy Baja",'Mapa final'!$AB$62="Leve"),CONCATENATE("R7C",'Mapa final'!$P$62),"")</f>
        <v/>
      </c>
      <c r="M52" s="34" t="str">
        <f>IF(AND('Mapa final'!$Z$63="Muy Baja",'Mapa final'!$AB$63="Leve"),CONCATENATE("R7C",'Mapa final'!$P$63),"")</f>
        <v/>
      </c>
      <c r="N52" s="34" t="str">
        <f>IF(AND('Mapa final'!$Z$64="Muy Baja",'Mapa final'!$AB$64="Leve"),CONCATENATE("R7C",'Mapa final'!$P$64),"")</f>
        <v/>
      </c>
      <c r="O52" s="35" t="str">
        <f>IF(AND('Mapa final'!$Z$65="Muy Baja",'Mapa final'!$AB$65="Leve"),CONCATENATE("R7C",'Mapa final'!$P$65),"")</f>
        <v/>
      </c>
      <c r="P52" s="33" t="str">
        <f>IF(AND('Mapa final'!$Z$60="Muy Baja",'Mapa final'!$AB$60="Menor"),CONCATENATE("R7C",'Mapa final'!$P$60),"")</f>
        <v/>
      </c>
      <c r="Q52" s="34" t="str">
        <f>IF(AND('Mapa final'!$Z$61="Muy Baja",'Mapa final'!$AB$61="Menor"),CONCATENATE("R7C",'Mapa final'!$P$61),"")</f>
        <v/>
      </c>
      <c r="R52" s="34" t="str">
        <f>IF(AND('Mapa final'!$Z$62="Muy Baja",'Mapa final'!$AB$62="Menor"),CONCATENATE("R7C",'Mapa final'!$P$62),"")</f>
        <v/>
      </c>
      <c r="S52" s="34" t="str">
        <f>IF(AND('Mapa final'!$Z$63="Muy Baja",'Mapa final'!$AB$63="Menor"),CONCATENATE("R7C",'Mapa final'!$P$63),"")</f>
        <v/>
      </c>
      <c r="T52" s="34" t="str">
        <f>IF(AND('Mapa final'!$Z$64="Muy Baja",'Mapa final'!$AB$64="Menor"),CONCATENATE("R7C",'Mapa final'!$P$64),"")</f>
        <v/>
      </c>
      <c r="U52" s="35" t="str">
        <f>IF(AND('Mapa final'!$Z$65="Muy Baja",'Mapa final'!$AB$65="Menor"),CONCATENATE("R7C",'Mapa final'!$P$65),"")</f>
        <v/>
      </c>
      <c r="V52" s="24" t="str">
        <f>IF(AND('Mapa final'!$Z$60="Muy Baja",'Mapa final'!$AB$60="Moderado"),CONCATENATE("R7C",'Mapa final'!$P$60),"")</f>
        <v/>
      </c>
      <c r="W52" s="25" t="str">
        <f>IF(AND('Mapa final'!$Z$61="Muy Baja",'Mapa final'!$AB$61="Moderado"),CONCATENATE("R7C",'Mapa final'!$P$61),"")</f>
        <v/>
      </c>
      <c r="X52" s="25" t="str">
        <f>IF(AND('Mapa final'!$Z$62="Muy Baja",'Mapa final'!$AB$62="Moderado"),CONCATENATE("R7C",'Mapa final'!$P$62),"")</f>
        <v/>
      </c>
      <c r="Y52" s="25" t="str">
        <f>IF(AND('Mapa final'!$Z$63="Muy Baja",'Mapa final'!$AB$63="Moderado"),CONCATENATE("R7C",'Mapa final'!$P$63),"")</f>
        <v/>
      </c>
      <c r="Z52" s="25" t="str">
        <f>IF(AND('Mapa final'!$Z$64="Muy Baja",'Mapa final'!$AB$64="Moderado"),CONCATENATE("R7C",'Mapa final'!$P$64),"")</f>
        <v/>
      </c>
      <c r="AA52" s="26" t="str">
        <f>IF(AND('Mapa final'!$Z$65="Muy Baja",'Mapa final'!$AB$65="Moderado"),CONCATENATE("R7C",'Mapa final'!$P$65),"")</f>
        <v/>
      </c>
      <c r="AB52" s="9" t="str">
        <f>IF(AND('Mapa final'!$Z$60="Muy Baja",'Mapa final'!$AB$60="Mayor"),CONCATENATE("R7C",'Mapa final'!$P$60),"")</f>
        <v/>
      </c>
      <c r="AC52" s="10" t="str">
        <f>IF(AND('Mapa final'!$Z$61="Muy Baja",'Mapa final'!$AB$61="Mayor"),CONCATENATE("R7C",'Mapa final'!$P$61),"")</f>
        <v/>
      </c>
      <c r="AD52" s="10" t="str">
        <f>IF(AND('Mapa final'!$Z$62="Muy Baja",'Mapa final'!$AB$62="Mayor"),CONCATENATE("R7C",'Mapa final'!$P$62),"")</f>
        <v/>
      </c>
      <c r="AE52" s="10" t="str">
        <f>IF(AND('Mapa final'!$Z$63="Muy Baja",'Mapa final'!$AB$63="Mayor"),CONCATENATE("R7C",'Mapa final'!$P$63),"")</f>
        <v/>
      </c>
      <c r="AF52" s="10" t="str">
        <f>IF(AND('Mapa final'!$Z$64="Muy Baja",'Mapa final'!$AB$64="Mayor"),CONCATENATE("R7C",'Mapa final'!$P$64),"")</f>
        <v/>
      </c>
      <c r="AG52" s="11" t="str">
        <f>IF(AND('Mapa final'!$Z$65="Muy Baja",'Mapa final'!$AB$65="Mayor"),CONCATENATE("R7C",'Mapa final'!$P$65),"")</f>
        <v/>
      </c>
      <c r="AH52" s="12" t="str">
        <f>IF(AND('Mapa final'!$Z$60="Muy Baja",'Mapa final'!$AB$60="Catastrófico"),CONCATENATE("R7C",'Mapa final'!$P$60),"")</f>
        <v/>
      </c>
      <c r="AI52" s="13" t="str">
        <f>IF(AND('Mapa final'!$Z$61="Muy Baja",'Mapa final'!$AB$61="Catastrófico"),CONCATENATE("R7C",'Mapa final'!$P$61),"")</f>
        <v/>
      </c>
      <c r="AJ52" s="13" t="str">
        <f>IF(AND('Mapa final'!$Z$62="Muy Baja",'Mapa final'!$AB$62="Catastrófico"),CONCATENATE("R7C",'Mapa final'!$P$62),"")</f>
        <v/>
      </c>
      <c r="AK52" s="13" t="str">
        <f>IF(AND('Mapa final'!$Z$63="Muy Baja",'Mapa final'!$AB$63="Catastrófico"),CONCATENATE("R7C",'Mapa final'!$P$63),"")</f>
        <v/>
      </c>
      <c r="AL52" s="13" t="str">
        <f>IF(AND('Mapa final'!$Z$64="Muy Baja",'Mapa final'!$AB$64="Catastrófico"),CONCATENATE("R7C",'Mapa final'!$P$64),"")</f>
        <v/>
      </c>
      <c r="AM52" s="14" t="str">
        <f>IF(AND('Mapa final'!$Z$65="Muy Baja",'Mapa final'!$AB$65="Catastrófico"),CONCATENATE("R7C",'Mapa final'!$P$65),"")</f>
        <v/>
      </c>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row>
    <row r="53" spans="1:80" ht="15" customHeight="1" x14ac:dyDescent="0.25">
      <c r="A53" s="40"/>
      <c r="B53" s="359"/>
      <c r="C53" s="359"/>
      <c r="D53" s="360"/>
      <c r="E53" s="458"/>
      <c r="F53" s="457"/>
      <c r="G53" s="457"/>
      <c r="H53" s="457"/>
      <c r="I53" s="473"/>
      <c r="J53" s="33" t="str">
        <f>IF(AND('Mapa final'!$Z$66="Muy Baja",'Mapa final'!$AB$66="Leve"),CONCATENATE("R8C",'Mapa final'!$P$66),"")</f>
        <v/>
      </c>
      <c r="K53" s="34" t="str">
        <f>IF(AND('Mapa final'!$Z$67="Muy Baja",'Mapa final'!$AB$67="Leve"),CONCATENATE("R8C",'Mapa final'!$P$67),"")</f>
        <v/>
      </c>
      <c r="L53" s="34" t="str">
        <f>IF(AND('Mapa final'!$Z$68="Muy Baja",'Mapa final'!$AB$68="Leve"),CONCATENATE("R8C",'Mapa final'!$P$68),"")</f>
        <v/>
      </c>
      <c r="M53" s="34" t="str">
        <f>IF(AND('Mapa final'!$Z$69="Muy Baja",'Mapa final'!$AB$69="Leve"),CONCATENATE("R8C",'Mapa final'!$P$69),"")</f>
        <v/>
      </c>
      <c r="N53" s="34" t="str">
        <f>IF(AND('Mapa final'!$Z$70="Muy Baja",'Mapa final'!$AB$70="Leve"),CONCATENATE("R8C",'Mapa final'!$P$70),"")</f>
        <v/>
      </c>
      <c r="O53" s="35" t="str">
        <f>IF(AND('Mapa final'!$Z$71="Muy Baja",'Mapa final'!$AB$71="Leve"),CONCATENATE("R8C",'Mapa final'!$P$71),"")</f>
        <v/>
      </c>
      <c r="P53" s="33" t="str">
        <f>IF(AND('Mapa final'!$Z$66="Muy Baja",'Mapa final'!$AB$66="Menor"),CONCATENATE("R8C",'Mapa final'!$P$66),"")</f>
        <v/>
      </c>
      <c r="Q53" s="34" t="str">
        <f>IF(AND('Mapa final'!$Z$67="Muy Baja",'Mapa final'!$AB$67="Menor"),CONCATENATE("R8C",'Mapa final'!$P$67),"")</f>
        <v/>
      </c>
      <c r="R53" s="34" t="str">
        <f>IF(AND('Mapa final'!$Z$68="Muy Baja",'Mapa final'!$AB$68="Menor"),CONCATENATE("R8C",'Mapa final'!$P$68),"")</f>
        <v/>
      </c>
      <c r="S53" s="34" t="str">
        <f>IF(AND('Mapa final'!$Z$69="Muy Baja",'Mapa final'!$AB$69="Menor"),CONCATENATE("R8C",'Mapa final'!$P$69),"")</f>
        <v/>
      </c>
      <c r="T53" s="34" t="str">
        <f>IF(AND('Mapa final'!$Z$70="Muy Baja",'Mapa final'!$AB$70="Menor"),CONCATENATE("R8C",'Mapa final'!$P$70),"")</f>
        <v/>
      </c>
      <c r="U53" s="35" t="str">
        <f>IF(AND('Mapa final'!$Z$71="Muy Baja",'Mapa final'!$AB$71="Menor"),CONCATENATE("R8C",'Mapa final'!$P$71),"")</f>
        <v/>
      </c>
      <c r="V53" s="24" t="str">
        <f>IF(AND('Mapa final'!$Z$66="Muy Baja",'Mapa final'!$AB$66="Moderado"),CONCATENATE("R8C",'Mapa final'!$P$66),"")</f>
        <v/>
      </c>
      <c r="W53" s="25" t="str">
        <f>IF(AND('Mapa final'!$Z$67="Muy Baja",'Mapa final'!$AB$67="Moderado"),CONCATENATE("R8C",'Mapa final'!$P$67),"")</f>
        <v/>
      </c>
      <c r="X53" s="25" t="str">
        <f>IF(AND('Mapa final'!$Z$68="Muy Baja",'Mapa final'!$AB$68="Moderado"),CONCATENATE("R8C",'Mapa final'!$P$68),"")</f>
        <v/>
      </c>
      <c r="Y53" s="25" t="str">
        <f>IF(AND('Mapa final'!$Z$69="Muy Baja",'Mapa final'!$AB$69="Moderado"),CONCATENATE("R8C",'Mapa final'!$P$69),"")</f>
        <v/>
      </c>
      <c r="Z53" s="25" t="str">
        <f>IF(AND('Mapa final'!$Z$70="Muy Baja",'Mapa final'!$AB$70="Moderado"),CONCATENATE("R8C",'Mapa final'!$P$70),"")</f>
        <v/>
      </c>
      <c r="AA53" s="26" t="str">
        <f>IF(AND('Mapa final'!$Z$71="Muy Baja",'Mapa final'!$AB$71="Moderado"),CONCATENATE("R8C",'Mapa final'!$P$71),"")</f>
        <v/>
      </c>
      <c r="AB53" s="9" t="str">
        <f>IF(AND('Mapa final'!$Z$66="Muy Baja",'Mapa final'!$AB$66="Mayor"),CONCATENATE("R8C",'Mapa final'!$P$66),"")</f>
        <v/>
      </c>
      <c r="AC53" s="10" t="str">
        <f>IF(AND('Mapa final'!$Z$67="Muy Baja",'Mapa final'!$AB$67="Mayor"),CONCATENATE("R8C",'Mapa final'!$P$67),"")</f>
        <v/>
      </c>
      <c r="AD53" s="10" t="str">
        <f>IF(AND('Mapa final'!$Z$68="Muy Baja",'Mapa final'!$AB$68="Mayor"),CONCATENATE("R8C",'Mapa final'!$P$68),"")</f>
        <v/>
      </c>
      <c r="AE53" s="10" t="str">
        <f>IF(AND('Mapa final'!$Z$69="Muy Baja",'Mapa final'!$AB$69="Mayor"),CONCATENATE("R8C",'Mapa final'!$P$69),"")</f>
        <v/>
      </c>
      <c r="AF53" s="10" t="str">
        <f>IF(AND('Mapa final'!$Z$70="Muy Baja",'Mapa final'!$AB$70="Mayor"),CONCATENATE("R8C",'Mapa final'!$P$70),"")</f>
        <v/>
      </c>
      <c r="AG53" s="11" t="str">
        <f>IF(AND('Mapa final'!$Z$71="Muy Baja",'Mapa final'!$AB$71="Mayor"),CONCATENATE("R8C",'Mapa final'!$P$71),"")</f>
        <v/>
      </c>
      <c r="AH53" s="12" t="str">
        <f>IF(AND('Mapa final'!$Z$66="Muy Baja",'Mapa final'!$AB$66="Catastrófico"),CONCATENATE("R8C",'Mapa final'!$P$66),"")</f>
        <v/>
      </c>
      <c r="AI53" s="13" t="str">
        <f>IF(AND('Mapa final'!$Z$67="Muy Baja",'Mapa final'!$AB$67="Catastrófico"),CONCATENATE("R8C",'Mapa final'!$P$67),"")</f>
        <v/>
      </c>
      <c r="AJ53" s="13" t="str">
        <f>IF(AND('Mapa final'!$Z$68="Muy Baja",'Mapa final'!$AB$68="Catastrófico"),CONCATENATE("R8C",'Mapa final'!$P$68),"")</f>
        <v/>
      </c>
      <c r="AK53" s="13" t="str">
        <f>IF(AND('Mapa final'!$Z$69="Muy Baja",'Mapa final'!$AB$69="Catastrófico"),CONCATENATE("R8C",'Mapa final'!$P$69),"")</f>
        <v/>
      </c>
      <c r="AL53" s="13" t="str">
        <f>IF(AND('Mapa final'!$Z$70="Muy Baja",'Mapa final'!$AB$70="Catastrófico"),CONCATENATE("R8C",'Mapa final'!$P$70),"")</f>
        <v/>
      </c>
      <c r="AM53" s="14" t="str">
        <f>IF(AND('Mapa final'!$Z$71="Muy Baja",'Mapa final'!$AB$71="Catastrófico"),CONCATENATE("R8C",'Mapa final'!$P$71),"")</f>
        <v/>
      </c>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row>
    <row r="54" spans="1:80" ht="15" customHeight="1" x14ac:dyDescent="0.25">
      <c r="A54" s="40"/>
      <c r="B54" s="359"/>
      <c r="C54" s="359"/>
      <c r="D54" s="360"/>
      <c r="E54" s="458"/>
      <c r="F54" s="457"/>
      <c r="G54" s="457"/>
      <c r="H54" s="457"/>
      <c r="I54" s="473"/>
      <c r="J54" s="33" t="str">
        <f>IF(AND('Mapa final'!$Z$72="Muy Baja",'Mapa final'!$AB$72="Leve"),CONCATENATE("R9C",'Mapa final'!$P$72),"")</f>
        <v/>
      </c>
      <c r="K54" s="34" t="str">
        <f>IF(AND('Mapa final'!$Z$73="Muy Baja",'Mapa final'!$AB$73="Leve"),CONCATENATE("R9C",'Mapa final'!$P$73),"")</f>
        <v/>
      </c>
      <c r="L54" s="34" t="str">
        <f>IF(AND('Mapa final'!$Z$74="Muy Baja",'Mapa final'!$AB$74="Leve"),CONCATENATE("R9C",'Mapa final'!$P$74),"")</f>
        <v/>
      </c>
      <c r="M54" s="34" t="str">
        <f>IF(AND('Mapa final'!$Z$75="Muy Baja",'Mapa final'!$AB$75="Leve"),CONCATENATE("R9C",'Mapa final'!$P$75),"")</f>
        <v/>
      </c>
      <c r="N54" s="34" t="str">
        <f>IF(AND('Mapa final'!$Z$76="Muy Baja",'Mapa final'!$AB$76="Leve"),CONCATENATE("R9C",'Mapa final'!$P$76),"")</f>
        <v/>
      </c>
      <c r="O54" s="35" t="str">
        <f>IF(AND('Mapa final'!$Z$77="Muy Baja",'Mapa final'!$AB$77="Leve"),CONCATENATE("R9C",'Mapa final'!$P$77),"")</f>
        <v/>
      </c>
      <c r="P54" s="33" t="str">
        <f>IF(AND('Mapa final'!$Z$72="Muy Baja",'Mapa final'!$AB$72="Menor"),CONCATENATE("R9C",'Mapa final'!$P$72),"")</f>
        <v/>
      </c>
      <c r="Q54" s="34" t="str">
        <f>IF(AND('Mapa final'!$Z$73="Muy Baja",'Mapa final'!$AB$73="Menor"),CONCATENATE("R9C",'Mapa final'!$P$73),"")</f>
        <v/>
      </c>
      <c r="R54" s="34" t="str">
        <f>IF(AND('Mapa final'!$Z$74="Muy Baja",'Mapa final'!$AB$74="Menor"),CONCATENATE("R9C",'Mapa final'!$P$74),"")</f>
        <v/>
      </c>
      <c r="S54" s="34" t="str">
        <f>IF(AND('Mapa final'!$Z$75="Muy Baja",'Mapa final'!$AB$75="Menor"),CONCATENATE("R9C",'Mapa final'!$P$75),"")</f>
        <v/>
      </c>
      <c r="T54" s="34" t="str">
        <f>IF(AND('Mapa final'!$Z$76="Muy Baja",'Mapa final'!$AB$76="Menor"),CONCATENATE("R9C",'Mapa final'!$P$76),"")</f>
        <v/>
      </c>
      <c r="U54" s="35" t="str">
        <f>IF(AND('Mapa final'!$Z$77="Muy Baja",'Mapa final'!$AB$77="Menor"),CONCATENATE("R9C",'Mapa final'!$P$77),"")</f>
        <v/>
      </c>
      <c r="V54" s="24" t="str">
        <f>IF(AND('Mapa final'!$Z$72="Muy Baja",'Mapa final'!$AB$72="Moderado"),CONCATENATE("R9C",'Mapa final'!$P$72),"")</f>
        <v/>
      </c>
      <c r="W54" s="25" t="str">
        <f>IF(AND('Mapa final'!$Z$73="Muy Baja",'Mapa final'!$AB$73="Moderado"),CONCATENATE("R9C",'Mapa final'!$P$73),"")</f>
        <v/>
      </c>
      <c r="X54" s="25" t="str">
        <f>IF(AND('Mapa final'!$Z$74="Muy Baja",'Mapa final'!$AB$74="Moderado"),CONCATENATE("R9C",'Mapa final'!$P$74),"")</f>
        <v/>
      </c>
      <c r="Y54" s="25" t="str">
        <f>IF(AND('Mapa final'!$Z$75="Muy Baja",'Mapa final'!$AB$75="Moderado"),CONCATENATE("R9C",'Mapa final'!$P$75),"")</f>
        <v/>
      </c>
      <c r="Z54" s="25" t="str">
        <f>IF(AND('Mapa final'!$Z$76="Muy Baja",'Mapa final'!$AB$76="Moderado"),CONCATENATE("R9C",'Mapa final'!$P$76),"")</f>
        <v/>
      </c>
      <c r="AA54" s="26" t="str">
        <f>IF(AND('Mapa final'!$Z$77="Muy Baja",'Mapa final'!$AB$77="Moderado"),CONCATENATE("R9C",'Mapa final'!$P$77),"")</f>
        <v/>
      </c>
      <c r="AB54" s="9" t="str">
        <f>IF(AND('Mapa final'!$Z$72="Muy Baja",'Mapa final'!$AB$72="Mayor"),CONCATENATE("R9C",'Mapa final'!$P$72),"")</f>
        <v/>
      </c>
      <c r="AC54" s="10" t="str">
        <f>IF(AND('Mapa final'!$Z$73="Muy Baja",'Mapa final'!$AB$73="Mayor"),CONCATENATE("R9C",'Mapa final'!$P$73),"")</f>
        <v/>
      </c>
      <c r="AD54" s="10" t="str">
        <f>IF(AND('Mapa final'!$Z$74="Muy Baja",'Mapa final'!$AB$74="Mayor"),CONCATENATE("R9C",'Mapa final'!$P$74),"")</f>
        <v/>
      </c>
      <c r="AE54" s="10" t="str">
        <f>IF(AND('Mapa final'!$Z$75="Muy Baja",'Mapa final'!$AB$75="Mayor"),CONCATENATE("R9C",'Mapa final'!$P$75),"")</f>
        <v/>
      </c>
      <c r="AF54" s="10" t="str">
        <f>IF(AND('Mapa final'!$Z$76="Muy Baja",'Mapa final'!$AB$76="Mayor"),CONCATENATE("R9C",'Mapa final'!$P$76),"")</f>
        <v/>
      </c>
      <c r="AG54" s="11" t="str">
        <f>IF(AND('Mapa final'!$Z$77="Muy Baja",'Mapa final'!$AB$77="Mayor"),CONCATENATE("R9C",'Mapa final'!$P$77),"")</f>
        <v/>
      </c>
      <c r="AH54" s="12" t="str">
        <f>IF(AND('Mapa final'!$Z$72="Muy Baja",'Mapa final'!$AB$72="Catastrófico"),CONCATENATE("R9C",'Mapa final'!$P$72),"")</f>
        <v/>
      </c>
      <c r="AI54" s="13" t="str">
        <f>IF(AND('Mapa final'!$Z$73="Muy Baja",'Mapa final'!$AB$73="Catastrófico"),CONCATENATE("R9C",'Mapa final'!$P$73),"")</f>
        <v/>
      </c>
      <c r="AJ54" s="13" t="str">
        <f>IF(AND('Mapa final'!$Z$74="Muy Baja",'Mapa final'!$AB$74="Catastrófico"),CONCATENATE("R9C",'Mapa final'!$P$74),"")</f>
        <v/>
      </c>
      <c r="AK54" s="13" t="str">
        <f>IF(AND('Mapa final'!$Z$75="Muy Baja",'Mapa final'!$AB$75="Catastrófico"),CONCATENATE("R9C",'Mapa final'!$P$75),"")</f>
        <v/>
      </c>
      <c r="AL54" s="13" t="str">
        <f>IF(AND('Mapa final'!$Z$76="Muy Baja",'Mapa final'!$AB$76="Catastrófico"),CONCATENATE("R9C",'Mapa final'!$P$76),"")</f>
        <v/>
      </c>
      <c r="AM54" s="14" t="str">
        <f>IF(AND('Mapa final'!$Z$77="Muy Baja",'Mapa final'!$AB$77="Catastrófico"),CONCATENATE("R9C",'Mapa final'!$P$77),"")</f>
        <v/>
      </c>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row>
    <row r="55" spans="1:80" ht="15.75" customHeight="1" thickBot="1" x14ac:dyDescent="0.3">
      <c r="A55" s="40"/>
      <c r="B55" s="359"/>
      <c r="C55" s="359"/>
      <c r="D55" s="360"/>
      <c r="E55" s="459"/>
      <c r="F55" s="460"/>
      <c r="G55" s="460"/>
      <c r="H55" s="460"/>
      <c r="I55" s="474"/>
      <c r="J55" s="36" t="str">
        <f>IF(AND('Mapa final'!$Z$78="Muy Baja",'Mapa final'!$AB$78="Leve"),CONCATENATE("R10C",'Mapa final'!$P$78),"")</f>
        <v/>
      </c>
      <c r="K55" s="37" t="str">
        <f>IF(AND('Mapa final'!$Z$79="Muy Baja",'Mapa final'!$AB$79="Leve"),CONCATENATE("R10C",'Mapa final'!$P$79),"")</f>
        <v/>
      </c>
      <c r="L55" s="37" t="str">
        <f>IF(AND('Mapa final'!$Z$80="Muy Baja",'Mapa final'!$AB$80="Leve"),CONCATENATE("R10C",'Mapa final'!$P$80),"")</f>
        <v/>
      </c>
      <c r="M55" s="37" t="str">
        <f>IF(AND('Mapa final'!$Z$81="Muy Baja",'Mapa final'!$AB$81="Leve"),CONCATENATE("R10C",'Mapa final'!$P$81),"")</f>
        <v/>
      </c>
      <c r="N55" s="37" t="str">
        <f>IF(AND('Mapa final'!$Z$82="Muy Baja",'Mapa final'!$AB$82="Leve"),CONCATENATE("R10C",'Mapa final'!$P$82),"")</f>
        <v/>
      </c>
      <c r="O55" s="38" t="str">
        <f>IF(AND('Mapa final'!$Z$83="Muy Baja",'Mapa final'!$AB$83="Leve"),CONCATENATE("R10C",'Mapa final'!$P$83),"")</f>
        <v/>
      </c>
      <c r="P55" s="36" t="str">
        <f>IF(AND('Mapa final'!$Z$78="Muy Baja",'Mapa final'!$AB$78="Menor"),CONCATENATE("R10C",'Mapa final'!$P$78),"")</f>
        <v/>
      </c>
      <c r="Q55" s="37" t="str">
        <f>IF(AND('Mapa final'!$Z$79="Muy Baja",'Mapa final'!$AB$79="Menor"),CONCATENATE("R10C",'Mapa final'!$P$79),"")</f>
        <v/>
      </c>
      <c r="R55" s="37" t="str">
        <f>IF(AND('Mapa final'!$Z$80="Muy Baja",'Mapa final'!$AB$80="Menor"),CONCATENATE("R10C",'Mapa final'!$P$80),"")</f>
        <v/>
      </c>
      <c r="S55" s="37" t="str">
        <f>IF(AND('Mapa final'!$Z$81="Muy Baja",'Mapa final'!$AB$81="Menor"),CONCATENATE("R10C",'Mapa final'!$P$81),"")</f>
        <v/>
      </c>
      <c r="T55" s="37" t="str">
        <f>IF(AND('Mapa final'!$Z$82="Muy Baja",'Mapa final'!$AB$82="Menor"),CONCATENATE("R10C",'Mapa final'!$P$82),"")</f>
        <v/>
      </c>
      <c r="U55" s="38" t="str">
        <f>IF(AND('Mapa final'!$Z$83="Muy Baja",'Mapa final'!$AB$83="Menor"),CONCATENATE("R10C",'Mapa final'!$P$83),"")</f>
        <v/>
      </c>
      <c r="V55" s="27" t="str">
        <f>IF(AND('Mapa final'!$Z$78="Muy Baja",'Mapa final'!$AB$78="Moderado"),CONCATENATE("R10C",'Mapa final'!$P$78),"")</f>
        <v/>
      </c>
      <c r="W55" s="28" t="str">
        <f>IF(AND('Mapa final'!$Z$79="Muy Baja",'Mapa final'!$AB$79="Moderado"),CONCATENATE("R10C",'Mapa final'!$P$79),"")</f>
        <v/>
      </c>
      <c r="X55" s="28" t="str">
        <f>IF(AND('Mapa final'!$Z$80="Muy Baja",'Mapa final'!$AB$80="Moderado"),CONCATENATE("R10C",'Mapa final'!$P$80),"")</f>
        <v/>
      </c>
      <c r="Y55" s="28" t="str">
        <f>IF(AND('Mapa final'!$Z$81="Muy Baja",'Mapa final'!$AB$81="Moderado"),CONCATENATE("R10C",'Mapa final'!$P$81),"")</f>
        <v/>
      </c>
      <c r="Z55" s="28" t="str">
        <f>IF(AND('Mapa final'!$Z$82="Muy Baja",'Mapa final'!$AB$82="Moderado"),CONCATENATE("R10C",'Mapa final'!$P$82),"")</f>
        <v/>
      </c>
      <c r="AA55" s="29" t="str">
        <f>IF(AND('Mapa final'!$Z$83="Muy Baja",'Mapa final'!$AB$83="Moderado"),CONCATENATE("R10C",'Mapa final'!$P$83),"")</f>
        <v/>
      </c>
      <c r="AB55" s="15" t="str">
        <f>IF(AND('Mapa final'!$Z$78="Muy Baja",'Mapa final'!$AB$78="Mayor"),CONCATENATE("R10C",'Mapa final'!$P$78),"")</f>
        <v/>
      </c>
      <c r="AC55" s="16" t="str">
        <f>IF(AND('Mapa final'!$Z$79="Muy Baja",'Mapa final'!$AB$79="Mayor"),CONCATENATE("R10C",'Mapa final'!$P$79),"")</f>
        <v/>
      </c>
      <c r="AD55" s="16" t="str">
        <f>IF(AND('Mapa final'!$Z$80="Muy Baja",'Mapa final'!$AB$80="Mayor"),CONCATENATE("R10C",'Mapa final'!$P$80),"")</f>
        <v/>
      </c>
      <c r="AE55" s="16" t="str">
        <f>IF(AND('Mapa final'!$Z$81="Muy Baja",'Mapa final'!$AB$81="Mayor"),CONCATENATE("R10C",'Mapa final'!$P$81),"")</f>
        <v/>
      </c>
      <c r="AF55" s="16" t="str">
        <f>IF(AND('Mapa final'!$Z$82="Muy Baja",'Mapa final'!$AB$82="Mayor"),CONCATENATE("R10C",'Mapa final'!$P$82),"")</f>
        <v/>
      </c>
      <c r="AG55" s="17" t="str">
        <f>IF(AND('Mapa final'!$Z$83="Muy Baja",'Mapa final'!$AB$83="Mayor"),CONCATENATE("R10C",'Mapa final'!$P$83),"")</f>
        <v/>
      </c>
      <c r="AH55" s="18" t="str">
        <f>IF(AND('Mapa final'!$Z$78="Muy Baja",'Mapa final'!$AB$78="Catastrófico"),CONCATENATE("R10C",'Mapa final'!$P$78),"")</f>
        <v/>
      </c>
      <c r="AI55" s="19" t="str">
        <f>IF(AND('Mapa final'!$Z$79="Muy Baja",'Mapa final'!$AB$79="Catastrófico"),CONCATENATE("R10C",'Mapa final'!$P$79),"")</f>
        <v/>
      </c>
      <c r="AJ55" s="19" t="str">
        <f>IF(AND('Mapa final'!$Z$80="Muy Baja",'Mapa final'!$AB$80="Catastrófico"),CONCATENATE("R10C",'Mapa final'!$P$80),"")</f>
        <v/>
      </c>
      <c r="AK55" s="19" t="str">
        <f>IF(AND('Mapa final'!$Z$81="Muy Baja",'Mapa final'!$AB$81="Catastrófico"),CONCATENATE("R10C",'Mapa final'!$P$81),"")</f>
        <v/>
      </c>
      <c r="AL55" s="19" t="str">
        <f>IF(AND('Mapa final'!$Z$82="Muy Baja",'Mapa final'!$AB$82="Catastrófico"),CONCATENATE("R10C",'Mapa final'!$P$82),"")</f>
        <v/>
      </c>
      <c r="AM55" s="20" t="str">
        <f>IF(AND('Mapa final'!$Z$83="Muy Baja",'Mapa final'!$AB$83="Catastrófico"),CONCATENATE("R10C",'Mapa final'!$P$83),"")</f>
        <v/>
      </c>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row>
    <row r="56" spans="1:80" x14ac:dyDescent="0.25">
      <c r="A56" s="40"/>
      <c r="B56" s="40"/>
      <c r="C56" s="40"/>
      <c r="D56" s="40"/>
      <c r="E56" s="40"/>
      <c r="F56" s="40"/>
      <c r="G56" s="40"/>
      <c r="H56" s="40"/>
      <c r="I56" s="40"/>
      <c r="J56" s="454" t="s">
        <v>647</v>
      </c>
      <c r="K56" s="455"/>
      <c r="L56" s="455"/>
      <c r="M56" s="455"/>
      <c r="N56" s="455"/>
      <c r="O56" s="472"/>
      <c r="P56" s="454" t="s">
        <v>648</v>
      </c>
      <c r="Q56" s="455"/>
      <c r="R56" s="455"/>
      <c r="S56" s="455"/>
      <c r="T56" s="455"/>
      <c r="U56" s="472"/>
      <c r="V56" s="454" t="s">
        <v>649</v>
      </c>
      <c r="W56" s="455"/>
      <c r="X56" s="455"/>
      <c r="Y56" s="455"/>
      <c r="Z56" s="455"/>
      <c r="AA56" s="472"/>
      <c r="AB56" s="454" t="s">
        <v>650</v>
      </c>
      <c r="AC56" s="493"/>
      <c r="AD56" s="455"/>
      <c r="AE56" s="455"/>
      <c r="AF56" s="455"/>
      <c r="AG56" s="472"/>
      <c r="AH56" s="454" t="s">
        <v>651</v>
      </c>
      <c r="AI56" s="455"/>
      <c r="AJ56" s="455"/>
      <c r="AK56" s="455"/>
      <c r="AL56" s="455"/>
      <c r="AM56" s="472"/>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row>
    <row r="57" spans="1:80" x14ac:dyDescent="0.25">
      <c r="A57" s="40"/>
      <c r="B57" s="40"/>
      <c r="C57" s="40"/>
      <c r="D57" s="40"/>
      <c r="E57" s="40"/>
      <c r="F57" s="40"/>
      <c r="G57" s="40"/>
      <c r="H57" s="40"/>
      <c r="I57" s="40"/>
      <c r="J57" s="458"/>
      <c r="K57" s="457"/>
      <c r="L57" s="457"/>
      <c r="M57" s="457"/>
      <c r="N57" s="457"/>
      <c r="O57" s="473"/>
      <c r="P57" s="458"/>
      <c r="Q57" s="457"/>
      <c r="R57" s="457"/>
      <c r="S57" s="457"/>
      <c r="T57" s="457"/>
      <c r="U57" s="473"/>
      <c r="V57" s="458"/>
      <c r="W57" s="457"/>
      <c r="X57" s="457"/>
      <c r="Y57" s="457"/>
      <c r="Z57" s="457"/>
      <c r="AA57" s="473"/>
      <c r="AB57" s="458"/>
      <c r="AC57" s="457"/>
      <c r="AD57" s="457"/>
      <c r="AE57" s="457"/>
      <c r="AF57" s="457"/>
      <c r="AG57" s="473"/>
      <c r="AH57" s="458"/>
      <c r="AI57" s="457"/>
      <c r="AJ57" s="457"/>
      <c r="AK57" s="457"/>
      <c r="AL57" s="457"/>
      <c r="AM57" s="473"/>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row>
    <row r="58" spans="1:80" x14ac:dyDescent="0.25">
      <c r="A58" s="40"/>
      <c r="B58" s="40"/>
      <c r="C58" s="40"/>
      <c r="D58" s="40"/>
      <c r="E58" s="40"/>
      <c r="F58" s="40"/>
      <c r="G58" s="40"/>
      <c r="H58" s="40"/>
      <c r="I58" s="40"/>
      <c r="J58" s="458"/>
      <c r="K58" s="457"/>
      <c r="L58" s="457"/>
      <c r="M58" s="457"/>
      <c r="N58" s="457"/>
      <c r="O58" s="473"/>
      <c r="P58" s="458"/>
      <c r="Q58" s="457"/>
      <c r="R58" s="457"/>
      <c r="S58" s="457"/>
      <c r="T58" s="457"/>
      <c r="U58" s="473"/>
      <c r="V58" s="458"/>
      <c r="W58" s="457"/>
      <c r="X58" s="457"/>
      <c r="Y58" s="457"/>
      <c r="Z58" s="457"/>
      <c r="AA58" s="473"/>
      <c r="AB58" s="458"/>
      <c r="AC58" s="457"/>
      <c r="AD58" s="457"/>
      <c r="AE58" s="457"/>
      <c r="AF58" s="457"/>
      <c r="AG58" s="473"/>
      <c r="AH58" s="458"/>
      <c r="AI58" s="457"/>
      <c r="AJ58" s="457"/>
      <c r="AK58" s="457"/>
      <c r="AL58" s="457"/>
      <c r="AM58" s="473"/>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row>
    <row r="59" spans="1:80" x14ac:dyDescent="0.25">
      <c r="A59" s="40"/>
      <c r="B59" s="40"/>
      <c r="C59" s="40"/>
      <c r="D59" s="40"/>
      <c r="E59" s="40"/>
      <c r="F59" s="40"/>
      <c r="G59" s="40"/>
      <c r="H59" s="40"/>
      <c r="I59" s="40"/>
      <c r="J59" s="458"/>
      <c r="K59" s="457"/>
      <c r="L59" s="457"/>
      <c r="M59" s="457"/>
      <c r="N59" s="457"/>
      <c r="O59" s="473"/>
      <c r="P59" s="458"/>
      <c r="Q59" s="457"/>
      <c r="R59" s="457"/>
      <c r="S59" s="457"/>
      <c r="T59" s="457"/>
      <c r="U59" s="473"/>
      <c r="V59" s="458"/>
      <c r="W59" s="457"/>
      <c r="X59" s="457"/>
      <c r="Y59" s="457"/>
      <c r="Z59" s="457"/>
      <c r="AA59" s="473"/>
      <c r="AB59" s="458"/>
      <c r="AC59" s="457"/>
      <c r="AD59" s="457"/>
      <c r="AE59" s="457"/>
      <c r="AF59" s="457"/>
      <c r="AG59" s="473"/>
      <c r="AH59" s="458"/>
      <c r="AI59" s="457"/>
      <c r="AJ59" s="457"/>
      <c r="AK59" s="457"/>
      <c r="AL59" s="457"/>
      <c r="AM59" s="473"/>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row>
    <row r="60" spans="1:80" x14ac:dyDescent="0.25">
      <c r="A60" s="40"/>
      <c r="B60" s="40"/>
      <c r="C60" s="40"/>
      <c r="D60" s="40"/>
      <c r="E60" s="40"/>
      <c r="F60" s="40"/>
      <c r="G60" s="40"/>
      <c r="H60" s="40"/>
      <c r="I60" s="40"/>
      <c r="J60" s="458"/>
      <c r="K60" s="457"/>
      <c r="L60" s="457"/>
      <c r="M60" s="457"/>
      <c r="N60" s="457"/>
      <c r="O60" s="473"/>
      <c r="P60" s="458"/>
      <c r="Q60" s="457"/>
      <c r="R60" s="457"/>
      <c r="S60" s="457"/>
      <c r="T60" s="457"/>
      <c r="U60" s="473"/>
      <c r="V60" s="458"/>
      <c r="W60" s="457"/>
      <c r="X60" s="457"/>
      <c r="Y60" s="457"/>
      <c r="Z60" s="457"/>
      <c r="AA60" s="473"/>
      <c r="AB60" s="458"/>
      <c r="AC60" s="457"/>
      <c r="AD60" s="457"/>
      <c r="AE60" s="457"/>
      <c r="AF60" s="457"/>
      <c r="AG60" s="473"/>
      <c r="AH60" s="458"/>
      <c r="AI60" s="457"/>
      <c r="AJ60" s="457"/>
      <c r="AK60" s="457"/>
      <c r="AL60" s="457"/>
      <c r="AM60" s="473"/>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row>
    <row r="61" spans="1:80" ht="15.75" thickBot="1" x14ac:dyDescent="0.3">
      <c r="A61" s="40"/>
      <c r="B61" s="40"/>
      <c r="C61" s="40"/>
      <c r="D61" s="40"/>
      <c r="E61" s="40"/>
      <c r="F61" s="40"/>
      <c r="G61" s="40"/>
      <c r="H61" s="40"/>
      <c r="I61" s="40"/>
      <c r="J61" s="459"/>
      <c r="K61" s="460"/>
      <c r="L61" s="460"/>
      <c r="M61" s="460"/>
      <c r="N61" s="460"/>
      <c r="O61" s="474"/>
      <c r="P61" s="459"/>
      <c r="Q61" s="460"/>
      <c r="R61" s="460"/>
      <c r="S61" s="460"/>
      <c r="T61" s="460"/>
      <c r="U61" s="474"/>
      <c r="V61" s="459"/>
      <c r="W61" s="460"/>
      <c r="X61" s="460"/>
      <c r="Y61" s="460"/>
      <c r="Z61" s="460"/>
      <c r="AA61" s="474"/>
      <c r="AB61" s="459"/>
      <c r="AC61" s="460"/>
      <c r="AD61" s="460"/>
      <c r="AE61" s="460"/>
      <c r="AF61" s="460"/>
      <c r="AG61" s="474"/>
      <c r="AH61" s="459"/>
      <c r="AI61" s="460"/>
      <c r="AJ61" s="460"/>
      <c r="AK61" s="460"/>
      <c r="AL61" s="460"/>
      <c r="AM61" s="474"/>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row>
    <row r="62" spans="1:80" x14ac:dyDescent="0.25">
      <c r="A62" s="40"/>
      <c r="B62" s="40"/>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row>
    <row r="63" spans="1:80" ht="15" customHeight="1" x14ac:dyDescent="0.25">
      <c r="A63" s="40"/>
      <c r="B63" s="41"/>
      <c r="C63" s="41"/>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c r="AJ63" s="41"/>
      <c r="AK63" s="41"/>
      <c r="AL63" s="41"/>
      <c r="AM63" s="41"/>
      <c r="AN63" s="41"/>
      <c r="AO63" s="41"/>
      <c r="AP63" s="41"/>
      <c r="AQ63" s="41"/>
      <c r="AR63" s="41"/>
      <c r="AS63" s="41"/>
      <c r="AT63" s="41"/>
      <c r="AU63" s="40"/>
      <c r="AV63" s="40"/>
      <c r="AW63" s="40"/>
      <c r="AX63" s="40"/>
      <c r="AY63" s="40"/>
      <c r="AZ63" s="40"/>
      <c r="BA63" s="40"/>
      <c r="BB63" s="40"/>
      <c r="BC63" s="40"/>
      <c r="BD63" s="40"/>
      <c r="BE63" s="40"/>
      <c r="BF63" s="40"/>
      <c r="BG63" s="40"/>
      <c r="BH63" s="40"/>
    </row>
    <row r="64" spans="1:80" ht="15" customHeight="1" x14ac:dyDescent="0.25">
      <c r="A64" s="40"/>
      <c r="B64" s="41"/>
      <c r="C64" s="41"/>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0"/>
      <c r="AV64" s="40"/>
      <c r="AW64" s="40"/>
      <c r="AX64" s="40"/>
      <c r="AY64" s="40"/>
      <c r="AZ64" s="40"/>
      <c r="BA64" s="40"/>
      <c r="BB64" s="40"/>
      <c r="BC64" s="40"/>
      <c r="BD64" s="40"/>
      <c r="BE64" s="40"/>
      <c r="BF64" s="40"/>
      <c r="BG64" s="40"/>
      <c r="BH64" s="40"/>
    </row>
    <row r="65" spans="1:60" x14ac:dyDescent="0.25">
      <c r="A65" s="40"/>
      <c r="B65" s="40"/>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row>
    <row r="66" spans="1:60" x14ac:dyDescent="0.25">
      <c r="A66" s="40"/>
      <c r="B66" s="40"/>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row>
    <row r="67" spans="1:60" x14ac:dyDescent="0.25">
      <c r="A67" s="40"/>
      <c r="B67" s="40"/>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row>
    <row r="68" spans="1:60" x14ac:dyDescent="0.25">
      <c r="A68" s="40"/>
      <c r="B68" s="40"/>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row>
    <row r="69" spans="1:60" x14ac:dyDescent="0.25">
      <c r="A69" s="40"/>
      <c r="B69" s="40"/>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row>
    <row r="70" spans="1:60" x14ac:dyDescent="0.25">
      <c r="A70" s="40"/>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row>
    <row r="71" spans="1:60" x14ac:dyDescent="0.25">
      <c r="A71" s="40"/>
      <c r="B71" s="40"/>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row>
    <row r="72" spans="1:60" x14ac:dyDescent="0.25">
      <c r="A72" s="40"/>
      <c r="B72" s="40"/>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row>
    <row r="73" spans="1:60" x14ac:dyDescent="0.25">
      <c r="A73" s="40"/>
      <c r="B73" s="40"/>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row>
    <row r="74" spans="1:60" x14ac:dyDescent="0.25">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row>
    <row r="75" spans="1:60" x14ac:dyDescent="0.25">
      <c r="A75" s="40"/>
      <c r="B75" s="40"/>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row>
    <row r="76" spans="1:60" x14ac:dyDescent="0.25">
      <c r="A76" s="40"/>
      <c r="B76" s="40"/>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row>
    <row r="77" spans="1:60" x14ac:dyDescent="0.25">
      <c r="A77" s="40"/>
      <c r="B77" s="40"/>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row>
    <row r="78" spans="1:60" x14ac:dyDescent="0.25">
      <c r="A78" s="40"/>
      <c r="B78" s="40"/>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row>
    <row r="79" spans="1:60" x14ac:dyDescent="0.25">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row>
    <row r="80" spans="1:60" x14ac:dyDescent="0.25">
      <c r="A80" s="40"/>
      <c r="B80" s="40"/>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row>
    <row r="81" spans="1:60" x14ac:dyDescent="0.25">
      <c r="A81" s="40"/>
      <c r="B81" s="40"/>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row>
    <row r="82" spans="1:60" x14ac:dyDescent="0.25">
      <c r="A82" s="40"/>
      <c r="B82" s="40"/>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row>
    <row r="83" spans="1:60" x14ac:dyDescent="0.25">
      <c r="A83" s="40"/>
      <c r="B83" s="40"/>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row>
    <row r="84" spans="1:60" x14ac:dyDescent="0.25">
      <c r="A84" s="40"/>
      <c r="B84" s="40"/>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row>
    <row r="85" spans="1:60" x14ac:dyDescent="0.25">
      <c r="A85" s="40"/>
      <c r="B85" s="40"/>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row>
    <row r="86" spans="1:60" x14ac:dyDescent="0.25">
      <c r="A86" s="40"/>
      <c r="B86" s="40"/>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row>
    <row r="87" spans="1:60" x14ac:dyDescent="0.25">
      <c r="A87" s="40"/>
      <c r="B87" s="40"/>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row>
    <row r="88" spans="1:60" x14ac:dyDescent="0.25">
      <c r="A88" s="40"/>
      <c r="B88" s="40"/>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row>
    <row r="89" spans="1:60" x14ac:dyDescent="0.25">
      <c r="A89" s="40"/>
      <c r="B89" s="40"/>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row>
    <row r="90" spans="1:60" x14ac:dyDescent="0.25">
      <c r="A90" s="40"/>
      <c r="B90" s="40"/>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row>
    <row r="91" spans="1:60" x14ac:dyDescent="0.25">
      <c r="A91" s="40"/>
      <c r="B91" s="40"/>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row>
    <row r="92" spans="1:60" x14ac:dyDescent="0.25">
      <c r="A92" s="40"/>
      <c r="B92" s="40"/>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row>
    <row r="93" spans="1:60" x14ac:dyDescent="0.25">
      <c r="A93" s="40"/>
      <c r="B93" s="40"/>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row>
    <row r="94" spans="1:60" x14ac:dyDescent="0.25">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row>
    <row r="95" spans="1:60" x14ac:dyDescent="0.25">
      <c r="A95" s="40"/>
      <c r="B95" s="40"/>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row>
    <row r="96" spans="1:60" x14ac:dyDescent="0.25">
      <c r="A96" s="40"/>
      <c r="B96" s="40"/>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row>
    <row r="97" spans="1:60" x14ac:dyDescent="0.25">
      <c r="A97" s="40"/>
      <c r="B97" s="40"/>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row>
    <row r="98" spans="1:60" x14ac:dyDescent="0.25">
      <c r="A98" s="40"/>
      <c r="B98" s="40"/>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row>
    <row r="99" spans="1:60" x14ac:dyDescent="0.25">
      <c r="A99" s="40"/>
      <c r="B99" s="40"/>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row>
    <row r="100" spans="1:60" x14ac:dyDescent="0.25">
      <c r="A100" s="40"/>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row>
    <row r="101" spans="1:60" x14ac:dyDescent="0.25">
      <c r="A101" s="40"/>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row>
    <row r="102" spans="1:60" x14ac:dyDescent="0.25">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row>
    <row r="103" spans="1:60" x14ac:dyDescent="0.25">
      <c r="A103" s="40"/>
      <c r="B103" s="40"/>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row>
    <row r="104" spans="1:60" x14ac:dyDescent="0.25">
      <c r="A104" s="40"/>
      <c r="B104" s="40"/>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row>
    <row r="105" spans="1:60" x14ac:dyDescent="0.25">
      <c r="A105" s="40"/>
      <c r="B105" s="40"/>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row>
    <row r="106" spans="1:60" x14ac:dyDescent="0.25">
      <c r="A106" s="40"/>
      <c r="B106" s="40"/>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row>
    <row r="107" spans="1:60" x14ac:dyDescent="0.25">
      <c r="A107" s="40"/>
      <c r="B107" s="40"/>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row>
    <row r="108" spans="1:60" x14ac:dyDescent="0.25">
      <c r="A108" s="40"/>
      <c r="B108" s="40"/>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row>
    <row r="109" spans="1:60" x14ac:dyDescent="0.25">
      <c r="A109" s="40"/>
      <c r="B109" s="40"/>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row>
    <row r="110" spans="1:60" x14ac:dyDescent="0.25">
      <c r="A110" s="40"/>
      <c r="B110" s="40"/>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row>
    <row r="111" spans="1:60" x14ac:dyDescent="0.25">
      <c r="A111" s="40"/>
      <c r="B111" s="40"/>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row>
    <row r="112" spans="1:60" x14ac:dyDescent="0.25">
      <c r="A112" s="40"/>
      <c r="B112" s="40"/>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row>
    <row r="113" spans="1:60" x14ac:dyDescent="0.25">
      <c r="A113" s="40"/>
      <c r="B113" s="40"/>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row>
    <row r="114" spans="1:60" x14ac:dyDescent="0.25">
      <c r="A114" s="40"/>
      <c r="B114" s="40"/>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row>
    <row r="115" spans="1:60" x14ac:dyDescent="0.25">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row>
    <row r="116" spans="1:60" x14ac:dyDescent="0.25">
      <c r="A116" s="40"/>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row>
    <row r="117" spans="1:60" x14ac:dyDescent="0.25">
      <c r="A117" s="40"/>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row>
    <row r="118" spans="1:60" x14ac:dyDescent="0.25">
      <c r="A118" s="40"/>
      <c r="B118" s="40"/>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row>
    <row r="119" spans="1:60" x14ac:dyDescent="0.25">
      <c r="A119" s="40"/>
      <c r="B119" s="40"/>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row>
    <row r="120" spans="1:60" x14ac:dyDescent="0.25">
      <c r="A120" s="40"/>
      <c r="B120" s="40"/>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row>
    <row r="121" spans="1:60" x14ac:dyDescent="0.25">
      <c r="A121" s="40"/>
      <c r="B121" s="40"/>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row>
    <row r="122" spans="1:60" x14ac:dyDescent="0.25">
      <c r="A122" s="40"/>
      <c r="B122" s="40"/>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row>
    <row r="123" spans="1:60" x14ac:dyDescent="0.25">
      <c r="A123" s="40"/>
      <c r="B123" s="40"/>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row>
    <row r="124" spans="1:60" x14ac:dyDescent="0.25">
      <c r="A124" s="40"/>
      <c r="B124" s="40"/>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row>
    <row r="125" spans="1:60" x14ac:dyDescent="0.25">
      <c r="A125" s="40"/>
      <c r="B125" s="40"/>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row>
    <row r="126" spans="1:60" x14ac:dyDescent="0.25">
      <c r="A126" s="40"/>
      <c r="B126" s="40"/>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row>
    <row r="127" spans="1:60" x14ac:dyDescent="0.25">
      <c r="A127" s="40"/>
      <c r="B127" s="40"/>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row>
    <row r="128" spans="1:60" x14ac:dyDescent="0.25">
      <c r="A128" s="40"/>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row>
    <row r="129" spans="1:60" x14ac:dyDescent="0.25">
      <c r="A129" s="40"/>
      <c r="B129" s="40"/>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row>
    <row r="130" spans="1:60" x14ac:dyDescent="0.25">
      <c r="A130" s="40"/>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row>
    <row r="131" spans="1:60" x14ac:dyDescent="0.25">
      <c r="A131" s="40"/>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row>
    <row r="132" spans="1:60" x14ac:dyDescent="0.25">
      <c r="A132" s="40"/>
      <c r="B132" s="40"/>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row>
    <row r="133" spans="1:60" x14ac:dyDescent="0.25">
      <c r="A133" s="40"/>
      <c r="B133" s="40"/>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row>
    <row r="134" spans="1:60" x14ac:dyDescent="0.25">
      <c r="A134" s="40"/>
      <c r="B134" s="40"/>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row>
    <row r="135" spans="1:60" x14ac:dyDescent="0.25">
      <c r="A135" s="40"/>
      <c r="B135" s="40"/>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row>
    <row r="136" spans="1:60" x14ac:dyDescent="0.25">
      <c r="A136" s="40"/>
      <c r="B136" s="40"/>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row>
    <row r="137" spans="1:60" x14ac:dyDescent="0.25">
      <c r="A137" s="40"/>
      <c r="B137" s="40"/>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row>
    <row r="138" spans="1:60" x14ac:dyDescent="0.25">
      <c r="A138" s="40"/>
      <c r="B138" s="40"/>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row>
    <row r="139" spans="1:60" x14ac:dyDescent="0.25">
      <c r="A139" s="40"/>
      <c r="B139" s="40"/>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row>
    <row r="140" spans="1:60" x14ac:dyDescent="0.25">
      <c r="A140" s="40"/>
      <c r="B140" s="40"/>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row>
    <row r="141" spans="1:60" x14ac:dyDescent="0.25">
      <c r="A141" s="40"/>
      <c r="B141" s="40"/>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row>
    <row r="142" spans="1:60" x14ac:dyDescent="0.25">
      <c r="A142" s="40"/>
      <c r="B142" s="40"/>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row>
    <row r="143" spans="1:60" x14ac:dyDescent="0.25">
      <c r="A143" s="40"/>
      <c r="B143" s="40"/>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row>
    <row r="144" spans="1:60" x14ac:dyDescent="0.25">
      <c r="A144" s="40"/>
      <c r="B144" s="40"/>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row>
    <row r="145" spans="1:60" x14ac:dyDescent="0.25">
      <c r="A145" s="40"/>
      <c r="B145" s="40"/>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row>
    <row r="146" spans="1:60" x14ac:dyDescent="0.25">
      <c r="A146" s="40"/>
      <c r="B146" s="40"/>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row>
    <row r="147" spans="1:60" x14ac:dyDescent="0.25">
      <c r="A147" s="40"/>
      <c r="B147" s="40"/>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row>
    <row r="148" spans="1:60" x14ac:dyDescent="0.25">
      <c r="A148" s="40"/>
      <c r="B148" s="40"/>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row>
    <row r="149" spans="1:60" x14ac:dyDescent="0.25">
      <c r="A149" s="40"/>
      <c r="B149" s="40"/>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row>
    <row r="150" spans="1:60" x14ac:dyDescent="0.25">
      <c r="A150" s="40"/>
      <c r="B150" s="40"/>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row>
    <row r="151" spans="1:60" x14ac:dyDescent="0.25">
      <c r="A151" s="40"/>
      <c r="B151" s="40"/>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row>
    <row r="152" spans="1:60" x14ac:dyDescent="0.25">
      <c r="A152" s="40"/>
      <c r="B152" s="40"/>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row>
    <row r="153" spans="1:60" x14ac:dyDescent="0.25">
      <c r="A153" s="40"/>
      <c r="B153" s="40"/>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row>
    <row r="154" spans="1:60" x14ac:dyDescent="0.25">
      <c r="A154" s="40"/>
      <c r="B154" s="40"/>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row>
    <row r="155" spans="1:60" x14ac:dyDescent="0.25">
      <c r="A155" s="40"/>
      <c r="B155" s="40"/>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row>
    <row r="156" spans="1:60" x14ac:dyDescent="0.25">
      <c r="A156" s="40"/>
      <c r="B156" s="40"/>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row>
    <row r="157" spans="1:60" x14ac:dyDescent="0.25">
      <c r="A157" s="40"/>
      <c r="B157" s="40"/>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row>
    <row r="158" spans="1:60" x14ac:dyDescent="0.25">
      <c r="A158" s="40"/>
      <c r="B158" s="40"/>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row>
    <row r="159" spans="1:60" x14ac:dyDescent="0.25">
      <c r="A159" s="40"/>
      <c r="B159" s="40"/>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row>
    <row r="160" spans="1:60" x14ac:dyDescent="0.25">
      <c r="A160" s="40"/>
      <c r="B160" s="40"/>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row>
    <row r="161" spans="1:60" x14ac:dyDescent="0.25">
      <c r="A161" s="40"/>
      <c r="B161" s="40"/>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row>
    <row r="162" spans="1:60" x14ac:dyDescent="0.25">
      <c r="A162" s="40"/>
      <c r="B162" s="40"/>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row>
    <row r="163" spans="1:60" x14ac:dyDescent="0.25">
      <c r="A163" s="40"/>
      <c r="B163" s="40"/>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row>
    <row r="164" spans="1:60" x14ac:dyDescent="0.25">
      <c r="A164" s="40"/>
      <c r="B164" s="40"/>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row>
    <row r="165" spans="1:60" x14ac:dyDescent="0.25">
      <c r="A165" s="40"/>
      <c r="B165" s="40"/>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row>
    <row r="166" spans="1:60" x14ac:dyDescent="0.25">
      <c r="A166" s="40"/>
      <c r="B166" s="40"/>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row>
    <row r="167" spans="1:60" x14ac:dyDescent="0.25">
      <c r="A167" s="40"/>
      <c r="B167" s="40"/>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row>
    <row r="168" spans="1:60" x14ac:dyDescent="0.25">
      <c r="A168" s="40"/>
      <c r="B168" s="40"/>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row>
    <row r="169" spans="1:60" x14ac:dyDescent="0.25">
      <c r="A169" s="40"/>
      <c r="B169" s="40"/>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row>
    <row r="170" spans="1:60" x14ac:dyDescent="0.25">
      <c r="A170" s="40"/>
      <c r="B170" s="40"/>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row>
    <row r="171" spans="1:60" x14ac:dyDescent="0.25">
      <c r="A171" s="40"/>
      <c r="B171" s="40"/>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row>
    <row r="172" spans="1:60" x14ac:dyDescent="0.25">
      <c r="A172" s="40"/>
      <c r="B172" s="40"/>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row>
    <row r="173" spans="1:60" x14ac:dyDescent="0.25">
      <c r="A173" s="40"/>
      <c r="B173" s="40"/>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row>
    <row r="174" spans="1:60" x14ac:dyDescent="0.25">
      <c r="A174" s="40"/>
      <c r="B174" s="40"/>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row>
    <row r="175" spans="1:60" x14ac:dyDescent="0.25">
      <c r="A175" s="40"/>
      <c r="B175" s="40"/>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row>
    <row r="176" spans="1:60" x14ac:dyDescent="0.25">
      <c r="A176" s="40"/>
      <c r="B176" s="40"/>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row>
    <row r="177" spans="1:60" x14ac:dyDescent="0.25">
      <c r="A177" s="40"/>
      <c r="B177" s="40"/>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row>
    <row r="178" spans="1:60" x14ac:dyDescent="0.25">
      <c r="A178" s="40"/>
      <c r="B178" s="40"/>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row>
    <row r="179" spans="1:60" x14ac:dyDescent="0.25">
      <c r="A179" s="40"/>
      <c r="B179" s="40"/>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row>
    <row r="180" spans="1:60" x14ac:dyDescent="0.25">
      <c r="A180" s="40"/>
      <c r="B180" s="40"/>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row>
    <row r="181" spans="1:60" x14ac:dyDescent="0.25">
      <c r="A181" s="40"/>
      <c r="B181" s="40"/>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row>
    <row r="182" spans="1:60" x14ac:dyDescent="0.25">
      <c r="A182" s="40"/>
      <c r="B182" s="40"/>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row>
    <row r="183" spans="1:60" x14ac:dyDescent="0.25">
      <c r="A183" s="40"/>
      <c r="B183" s="40"/>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row>
    <row r="184" spans="1:60" x14ac:dyDescent="0.25">
      <c r="A184" s="40"/>
      <c r="B184" s="40"/>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row>
    <row r="185" spans="1:60" x14ac:dyDescent="0.25">
      <c r="A185" s="40"/>
      <c r="B185" s="40"/>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row>
    <row r="186" spans="1:60" x14ac:dyDescent="0.25">
      <c r="A186" s="40"/>
      <c r="B186" s="40"/>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row>
    <row r="187" spans="1:60" x14ac:dyDescent="0.25">
      <c r="A187" s="40"/>
      <c r="B187" s="40"/>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row>
    <row r="188" spans="1:60" x14ac:dyDescent="0.25">
      <c r="A188" s="40"/>
      <c r="B188" s="40"/>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row>
    <row r="189" spans="1:60" x14ac:dyDescent="0.25">
      <c r="A189" s="40"/>
      <c r="B189" s="40"/>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row>
    <row r="190" spans="1:60" x14ac:dyDescent="0.25">
      <c r="A190" s="40"/>
      <c r="B190" s="40"/>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row>
    <row r="191" spans="1:60" x14ac:dyDescent="0.25">
      <c r="A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row>
    <row r="192" spans="1:60" x14ac:dyDescent="0.25">
      <c r="A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row>
    <row r="193" spans="1:60" x14ac:dyDescent="0.25">
      <c r="A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row>
    <row r="194" spans="1:60" x14ac:dyDescent="0.25">
      <c r="A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row>
    <row r="195" spans="1:60" x14ac:dyDescent="0.25">
      <c r="A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row>
    <row r="196" spans="1:60" x14ac:dyDescent="0.25">
      <c r="A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row>
    <row r="197" spans="1:60" x14ac:dyDescent="0.25">
      <c r="A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row>
    <row r="198" spans="1:60" x14ac:dyDescent="0.25">
      <c r="A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row>
    <row r="199" spans="1:60" x14ac:dyDescent="0.25">
      <c r="A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row>
    <row r="200" spans="1:60" x14ac:dyDescent="0.25">
      <c r="A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row>
    <row r="201" spans="1:60" x14ac:dyDescent="0.25">
      <c r="A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row>
    <row r="202" spans="1:60" x14ac:dyDescent="0.25">
      <c r="A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row>
    <row r="203" spans="1:60" x14ac:dyDescent="0.25">
      <c r="A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row>
    <row r="204" spans="1:60" x14ac:dyDescent="0.25">
      <c r="A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row>
    <row r="205" spans="1:60" x14ac:dyDescent="0.25">
      <c r="A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row>
    <row r="206" spans="1:60" x14ac:dyDescent="0.25">
      <c r="A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row>
    <row r="207" spans="1:60" x14ac:dyDescent="0.25">
      <c r="A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row>
    <row r="208" spans="1:60" x14ac:dyDescent="0.25">
      <c r="A208" s="40"/>
      <c r="J208" s="40"/>
      <c r="K208" s="40"/>
      <c r="L208" s="40"/>
      <c r="M208" s="40"/>
      <c r="N208" s="40"/>
      <c r="O208" s="40"/>
      <c r="P208" s="40"/>
      <c r="Q208" s="40"/>
      <c r="R208" s="40"/>
      <c r="S208" s="40"/>
      <c r="T208" s="40"/>
      <c r="U208" s="40"/>
      <c r="V208" s="40"/>
      <c r="W208" s="40"/>
      <c r="X208" s="40"/>
      <c r="Y208" s="40"/>
      <c r="Z208" s="40"/>
      <c r="AA208" s="40"/>
      <c r="AB208" s="40"/>
      <c r="AC208" s="40"/>
      <c r="AD208" s="40"/>
      <c r="AE208" s="40"/>
      <c r="AF208" s="40"/>
      <c r="AG208" s="40"/>
      <c r="AH208" s="40"/>
      <c r="AI208" s="40"/>
      <c r="AJ208" s="40"/>
      <c r="AK208" s="40"/>
      <c r="AL208" s="40"/>
      <c r="AM208" s="40"/>
      <c r="AN208" s="40"/>
      <c r="AO208" s="40"/>
      <c r="AP208" s="40"/>
      <c r="AQ208" s="40"/>
      <c r="AR208" s="40"/>
      <c r="AS208" s="40"/>
      <c r="AT208" s="40"/>
      <c r="AU208" s="40"/>
      <c r="AV208" s="40"/>
      <c r="AW208" s="40"/>
      <c r="AX208" s="40"/>
      <c r="AY208" s="40"/>
      <c r="AZ208" s="40"/>
      <c r="BA208" s="40"/>
      <c r="BB208" s="40"/>
      <c r="BC208" s="40"/>
      <c r="BD208" s="40"/>
      <c r="BE208" s="40"/>
      <c r="BF208" s="40"/>
      <c r="BG208" s="40"/>
      <c r="BH208" s="40"/>
    </row>
    <row r="209" spans="1:60" x14ac:dyDescent="0.25">
      <c r="A209" s="40"/>
      <c r="J209" s="40"/>
      <c r="K209" s="40"/>
      <c r="L209" s="40"/>
      <c r="M209" s="40"/>
      <c r="N209" s="40"/>
      <c r="O209" s="40"/>
      <c r="P209" s="40"/>
      <c r="Q209" s="40"/>
      <c r="R209" s="40"/>
      <c r="S209" s="40"/>
      <c r="T209" s="40"/>
      <c r="U209" s="40"/>
      <c r="V209" s="40"/>
      <c r="W209" s="40"/>
      <c r="X209" s="40"/>
      <c r="Y209" s="40"/>
      <c r="Z209" s="40"/>
      <c r="AA209" s="40"/>
      <c r="AB209" s="40"/>
      <c r="AC209" s="40"/>
      <c r="AD209" s="40"/>
      <c r="AE209" s="40"/>
      <c r="AF209" s="40"/>
      <c r="AG209" s="40"/>
      <c r="AH209" s="40"/>
      <c r="AI209" s="40"/>
      <c r="AJ209" s="40"/>
      <c r="AK209" s="40"/>
      <c r="AL209" s="40"/>
      <c r="AM209" s="40"/>
      <c r="AN209" s="40"/>
      <c r="AO209" s="40"/>
      <c r="AP209" s="40"/>
      <c r="AQ209" s="40"/>
      <c r="AR209" s="40"/>
      <c r="AS209" s="40"/>
      <c r="AT209" s="40"/>
      <c r="AU209" s="40"/>
      <c r="AV209" s="40"/>
      <c r="AW209" s="40"/>
      <c r="AX209" s="40"/>
      <c r="AY209" s="40"/>
      <c r="AZ209" s="40"/>
      <c r="BA209" s="40"/>
      <c r="BB209" s="40"/>
      <c r="BC209" s="40"/>
      <c r="BD209" s="40"/>
      <c r="BE209" s="40"/>
      <c r="BF209" s="40"/>
      <c r="BG209" s="40"/>
      <c r="BH209" s="40"/>
    </row>
    <row r="210" spans="1:60" x14ac:dyDescent="0.25">
      <c r="A210" s="40"/>
      <c r="J210" s="40"/>
      <c r="K210" s="40"/>
      <c r="L210" s="40"/>
      <c r="M210" s="40"/>
      <c r="N210" s="40"/>
      <c r="O210" s="40"/>
      <c r="P210" s="40"/>
      <c r="Q210" s="40"/>
      <c r="R210" s="40"/>
      <c r="S210" s="40"/>
      <c r="T210" s="40"/>
      <c r="U210" s="40"/>
      <c r="V210" s="40"/>
      <c r="W210" s="40"/>
      <c r="X210" s="40"/>
      <c r="Y210" s="40"/>
      <c r="Z210" s="40"/>
      <c r="AA210" s="40"/>
      <c r="AB210" s="40"/>
      <c r="AC210" s="40"/>
      <c r="AD210" s="40"/>
      <c r="AE210" s="40"/>
      <c r="AF210" s="40"/>
      <c r="AG210" s="40"/>
      <c r="AH210" s="40"/>
      <c r="AI210" s="40"/>
      <c r="AJ210" s="40"/>
      <c r="AK210" s="40"/>
      <c r="AL210" s="40"/>
      <c r="AM210" s="40"/>
      <c r="AN210" s="40"/>
      <c r="AO210" s="40"/>
      <c r="AP210" s="40"/>
      <c r="AQ210" s="40"/>
      <c r="AR210" s="40"/>
      <c r="AS210" s="40"/>
      <c r="AT210" s="40"/>
      <c r="AU210" s="40"/>
      <c r="AV210" s="40"/>
      <c r="AW210" s="40"/>
      <c r="AX210" s="40"/>
      <c r="AY210" s="40"/>
      <c r="AZ210" s="40"/>
      <c r="BA210" s="40"/>
      <c r="BB210" s="40"/>
      <c r="BC210" s="40"/>
      <c r="BD210" s="40"/>
      <c r="BE210" s="40"/>
      <c r="BF210" s="40"/>
      <c r="BG210" s="40"/>
      <c r="BH210" s="40"/>
    </row>
    <row r="211" spans="1:60" x14ac:dyDescent="0.25">
      <c r="A211" s="40"/>
      <c r="J211" s="40"/>
      <c r="K211" s="40"/>
      <c r="L211" s="40"/>
      <c r="M211" s="40"/>
      <c r="N211" s="40"/>
      <c r="O211" s="40"/>
      <c r="P211" s="40"/>
      <c r="Q211" s="40"/>
      <c r="R211" s="40"/>
      <c r="S211" s="40"/>
      <c r="T211" s="40"/>
      <c r="U211" s="40"/>
      <c r="V211" s="40"/>
      <c r="W211" s="40"/>
      <c r="X211" s="40"/>
      <c r="Y211" s="40"/>
      <c r="Z211" s="40"/>
      <c r="AA211" s="40"/>
      <c r="AB211" s="40"/>
      <c r="AC211" s="40"/>
      <c r="AD211" s="40"/>
      <c r="AE211" s="40"/>
      <c r="AF211" s="40"/>
      <c r="AG211" s="40"/>
      <c r="AH211" s="40"/>
      <c r="AI211" s="40"/>
      <c r="AJ211" s="40"/>
      <c r="AK211" s="40"/>
      <c r="AL211" s="40"/>
      <c r="AM211" s="40"/>
      <c r="AN211" s="40"/>
      <c r="AO211" s="40"/>
      <c r="AP211" s="40"/>
      <c r="AQ211" s="40"/>
      <c r="AR211" s="40"/>
      <c r="AS211" s="40"/>
      <c r="AT211" s="40"/>
      <c r="AU211" s="40"/>
      <c r="AV211" s="40"/>
      <c r="AW211" s="40"/>
      <c r="AX211" s="40"/>
      <c r="AY211" s="40"/>
      <c r="AZ211" s="40"/>
      <c r="BA211" s="40"/>
      <c r="BB211" s="40"/>
      <c r="BC211" s="40"/>
      <c r="BD211" s="40"/>
      <c r="BE211" s="40"/>
      <c r="BF211" s="40"/>
      <c r="BG211" s="40"/>
      <c r="BH211" s="40"/>
    </row>
    <row r="212" spans="1:60" x14ac:dyDescent="0.25">
      <c r="A212" s="40"/>
      <c r="J212" s="40"/>
      <c r="K212" s="40"/>
      <c r="L212" s="40"/>
      <c r="M212" s="40"/>
      <c r="N212" s="40"/>
      <c r="O212" s="40"/>
      <c r="P212" s="40"/>
      <c r="Q212" s="40"/>
      <c r="R212" s="40"/>
      <c r="S212" s="40"/>
      <c r="T212" s="40"/>
      <c r="U212" s="40"/>
      <c r="V212" s="40"/>
      <c r="W212" s="40"/>
      <c r="X212" s="40"/>
      <c r="Y212" s="40"/>
      <c r="Z212" s="40"/>
      <c r="AA212" s="40"/>
      <c r="AB212" s="40"/>
      <c r="AC212" s="40"/>
      <c r="AD212" s="40"/>
      <c r="AE212" s="40"/>
      <c r="AF212" s="40"/>
      <c r="AG212" s="40"/>
      <c r="AH212" s="40"/>
      <c r="AI212" s="40"/>
      <c r="AJ212" s="40"/>
      <c r="AK212" s="40"/>
      <c r="AL212" s="40"/>
      <c r="AM212" s="40"/>
      <c r="AN212" s="40"/>
      <c r="AO212" s="40"/>
      <c r="AP212" s="40"/>
      <c r="AQ212" s="40"/>
      <c r="AR212" s="40"/>
      <c r="AS212" s="40"/>
      <c r="AT212" s="40"/>
      <c r="AU212" s="40"/>
      <c r="AV212" s="40"/>
      <c r="AW212" s="40"/>
      <c r="AX212" s="40"/>
      <c r="AY212" s="40"/>
      <c r="AZ212" s="40"/>
      <c r="BA212" s="40"/>
      <c r="BB212" s="40"/>
      <c r="BC212" s="40"/>
      <c r="BD212" s="40"/>
      <c r="BE212" s="40"/>
      <c r="BF212" s="40"/>
      <c r="BG212" s="40"/>
      <c r="BH212" s="40"/>
    </row>
    <row r="213" spans="1:60" x14ac:dyDescent="0.25">
      <c r="A213" s="40"/>
      <c r="J213" s="40"/>
      <c r="K213" s="40"/>
      <c r="L213" s="40"/>
      <c r="M213" s="40"/>
      <c r="N213" s="40"/>
      <c r="O213" s="40"/>
      <c r="P213" s="40"/>
      <c r="Q213" s="40"/>
      <c r="R213" s="40"/>
      <c r="S213" s="40"/>
      <c r="T213" s="40"/>
      <c r="U213" s="40"/>
      <c r="V213" s="40"/>
      <c r="W213" s="40"/>
      <c r="X213" s="40"/>
      <c r="Y213" s="40"/>
      <c r="Z213" s="40"/>
      <c r="AA213" s="40"/>
      <c r="AB213" s="40"/>
      <c r="AC213" s="40"/>
      <c r="AD213" s="40"/>
      <c r="AE213" s="40"/>
      <c r="AF213" s="40"/>
      <c r="AG213" s="40"/>
      <c r="AH213" s="40"/>
      <c r="AI213" s="40"/>
      <c r="AJ213" s="40"/>
      <c r="AK213" s="40"/>
      <c r="AL213" s="40"/>
      <c r="AM213" s="40"/>
      <c r="AN213" s="40"/>
      <c r="AO213" s="40"/>
      <c r="AP213" s="40"/>
      <c r="AQ213" s="40"/>
      <c r="AR213" s="40"/>
      <c r="AS213" s="40"/>
      <c r="AT213" s="40"/>
      <c r="AU213" s="40"/>
      <c r="AV213" s="40"/>
      <c r="AW213" s="40"/>
      <c r="AX213" s="40"/>
      <c r="AY213" s="40"/>
      <c r="AZ213" s="40"/>
      <c r="BA213" s="40"/>
      <c r="BB213" s="40"/>
      <c r="BC213" s="40"/>
      <c r="BD213" s="40"/>
      <c r="BE213" s="40"/>
      <c r="BF213" s="40"/>
      <c r="BG213" s="40"/>
      <c r="BH213" s="40"/>
    </row>
    <row r="214" spans="1:60" x14ac:dyDescent="0.25">
      <c r="A214" s="40"/>
      <c r="J214" s="40"/>
      <c r="K214" s="40"/>
      <c r="L214" s="40"/>
      <c r="M214" s="40"/>
      <c r="N214" s="40"/>
      <c r="O214" s="40"/>
      <c r="P214" s="40"/>
      <c r="Q214" s="40"/>
      <c r="R214" s="40"/>
      <c r="S214" s="40"/>
      <c r="T214" s="40"/>
      <c r="U214" s="40"/>
      <c r="V214" s="40"/>
      <c r="W214" s="40"/>
      <c r="X214" s="40"/>
      <c r="Y214" s="40"/>
      <c r="Z214" s="40"/>
      <c r="AA214" s="40"/>
      <c r="AB214" s="40"/>
      <c r="AC214" s="40"/>
      <c r="AD214" s="40"/>
      <c r="AE214" s="40"/>
      <c r="AF214" s="40"/>
      <c r="AG214" s="40"/>
      <c r="AH214" s="40"/>
      <c r="AI214" s="40"/>
      <c r="AJ214" s="40"/>
      <c r="AK214" s="40"/>
      <c r="AL214" s="40"/>
      <c r="AM214" s="40"/>
      <c r="AN214" s="40"/>
      <c r="AO214" s="40"/>
      <c r="AP214" s="40"/>
      <c r="AQ214" s="40"/>
      <c r="AR214" s="40"/>
      <c r="AS214" s="40"/>
      <c r="AT214" s="40"/>
      <c r="AU214" s="40"/>
      <c r="AV214" s="40"/>
      <c r="AW214" s="40"/>
      <c r="AX214" s="40"/>
      <c r="AY214" s="40"/>
      <c r="AZ214" s="40"/>
      <c r="BA214" s="40"/>
      <c r="BB214" s="40"/>
      <c r="BC214" s="40"/>
      <c r="BD214" s="40"/>
      <c r="BE214" s="40"/>
      <c r="BF214" s="40"/>
      <c r="BG214" s="40"/>
      <c r="BH214" s="40"/>
    </row>
    <row r="215" spans="1:60" x14ac:dyDescent="0.25">
      <c r="A215" s="40"/>
      <c r="J215" s="40"/>
      <c r="K215" s="40"/>
      <c r="L215" s="40"/>
      <c r="M215" s="40"/>
      <c r="N215" s="40"/>
      <c r="O215" s="40"/>
      <c r="P215" s="40"/>
      <c r="Q215" s="40"/>
      <c r="R215" s="40"/>
      <c r="S215" s="40"/>
      <c r="T215" s="40"/>
      <c r="U215" s="40"/>
      <c r="V215" s="40"/>
      <c r="W215" s="40"/>
      <c r="X215" s="40"/>
      <c r="Y215" s="40"/>
      <c r="Z215" s="40"/>
      <c r="AA215" s="40"/>
      <c r="AB215" s="40"/>
      <c r="AC215" s="40"/>
      <c r="AD215" s="40"/>
      <c r="AE215" s="40"/>
      <c r="AF215" s="40"/>
      <c r="AG215" s="40"/>
      <c r="AH215" s="40"/>
      <c r="AI215" s="40"/>
      <c r="AJ215" s="40"/>
      <c r="AK215" s="40"/>
      <c r="AL215" s="40"/>
      <c r="AM215" s="40"/>
      <c r="AN215" s="40"/>
      <c r="AO215" s="40"/>
      <c r="AP215" s="40"/>
      <c r="AQ215" s="40"/>
      <c r="AR215" s="40"/>
      <c r="AS215" s="40"/>
      <c r="AT215" s="40"/>
      <c r="AU215" s="40"/>
      <c r="AV215" s="40"/>
      <c r="AW215" s="40"/>
      <c r="AX215" s="40"/>
      <c r="AY215" s="40"/>
      <c r="AZ215" s="40"/>
      <c r="BA215" s="40"/>
      <c r="BB215" s="40"/>
      <c r="BC215" s="40"/>
      <c r="BD215" s="40"/>
      <c r="BE215" s="40"/>
      <c r="BF215" s="40"/>
      <c r="BG215" s="40"/>
      <c r="BH215" s="40"/>
    </row>
    <row r="216" spans="1:60" x14ac:dyDescent="0.25">
      <c r="A216" s="40"/>
      <c r="J216" s="40"/>
      <c r="K216" s="40"/>
      <c r="L216" s="40"/>
      <c r="M216" s="40"/>
      <c r="N216" s="40"/>
      <c r="O216" s="40"/>
      <c r="P216" s="40"/>
      <c r="Q216" s="40"/>
      <c r="R216" s="40"/>
      <c r="S216" s="40"/>
      <c r="T216" s="40"/>
      <c r="U216" s="40"/>
      <c r="V216" s="40"/>
      <c r="W216" s="40"/>
      <c r="X216" s="40"/>
      <c r="Y216" s="40"/>
      <c r="Z216" s="40"/>
      <c r="AA216" s="40"/>
      <c r="AB216" s="40"/>
      <c r="AC216" s="40"/>
      <c r="AD216" s="40"/>
      <c r="AE216" s="40"/>
      <c r="AF216" s="40"/>
      <c r="AG216" s="40"/>
      <c r="AH216" s="40"/>
      <c r="AI216" s="40"/>
      <c r="AJ216" s="40"/>
      <c r="AK216" s="40"/>
      <c r="AL216" s="40"/>
      <c r="AM216" s="40"/>
      <c r="AN216" s="40"/>
      <c r="AO216" s="40"/>
      <c r="AP216" s="40"/>
      <c r="AQ216" s="40"/>
      <c r="AR216" s="40"/>
      <c r="AS216" s="40"/>
      <c r="AT216" s="40"/>
      <c r="AU216" s="40"/>
      <c r="AV216" s="40"/>
      <c r="AW216" s="40"/>
      <c r="AX216" s="40"/>
      <c r="AY216" s="40"/>
      <c r="AZ216" s="40"/>
      <c r="BA216" s="40"/>
      <c r="BB216" s="40"/>
      <c r="BC216" s="40"/>
      <c r="BD216" s="40"/>
      <c r="BE216" s="40"/>
      <c r="BF216" s="40"/>
      <c r="BG216" s="40"/>
      <c r="BH216" s="40"/>
    </row>
    <row r="217" spans="1:60" x14ac:dyDescent="0.25">
      <c r="A217" s="40"/>
      <c r="J217" s="40"/>
      <c r="K217" s="40"/>
      <c r="L217" s="40"/>
      <c r="M217" s="40"/>
      <c r="N217" s="40"/>
      <c r="O217" s="40"/>
      <c r="P217" s="40"/>
      <c r="Q217" s="40"/>
      <c r="R217" s="40"/>
      <c r="S217" s="40"/>
      <c r="T217" s="40"/>
      <c r="U217" s="40"/>
      <c r="V217" s="40"/>
      <c r="W217" s="40"/>
      <c r="X217" s="40"/>
      <c r="Y217" s="40"/>
      <c r="Z217" s="40"/>
      <c r="AA217" s="40"/>
      <c r="AB217" s="40"/>
      <c r="AC217" s="40"/>
      <c r="AD217" s="40"/>
      <c r="AE217" s="40"/>
      <c r="AF217" s="40"/>
      <c r="AG217" s="40"/>
      <c r="AH217" s="40"/>
      <c r="AI217" s="40"/>
      <c r="AJ217" s="40"/>
      <c r="AK217" s="40"/>
      <c r="AL217" s="40"/>
      <c r="AM217" s="40"/>
      <c r="AN217" s="40"/>
      <c r="AO217" s="40"/>
      <c r="AP217" s="40"/>
      <c r="AQ217" s="40"/>
      <c r="AR217" s="40"/>
      <c r="AS217" s="40"/>
      <c r="AT217" s="40"/>
      <c r="AU217" s="40"/>
      <c r="AV217" s="40"/>
      <c r="AW217" s="40"/>
      <c r="AX217" s="40"/>
      <c r="AY217" s="40"/>
      <c r="AZ217" s="40"/>
      <c r="BA217" s="40"/>
      <c r="BB217" s="40"/>
      <c r="BC217" s="40"/>
      <c r="BD217" s="40"/>
      <c r="BE217" s="40"/>
      <c r="BF217" s="40"/>
      <c r="BG217" s="40"/>
      <c r="BH217" s="40"/>
    </row>
    <row r="218" spans="1:60" x14ac:dyDescent="0.25">
      <c r="A218" s="40"/>
      <c r="J218" s="40"/>
      <c r="K218" s="40"/>
      <c r="L218" s="40"/>
      <c r="M218" s="40"/>
      <c r="N218" s="40"/>
      <c r="O218" s="40"/>
      <c r="P218" s="40"/>
      <c r="Q218" s="40"/>
      <c r="R218" s="40"/>
      <c r="S218" s="40"/>
      <c r="T218" s="40"/>
      <c r="U218" s="40"/>
      <c r="V218" s="40"/>
      <c r="W218" s="40"/>
      <c r="X218" s="40"/>
      <c r="Y218" s="40"/>
      <c r="Z218" s="40"/>
      <c r="AA218" s="40"/>
      <c r="AB218" s="40"/>
      <c r="AC218" s="40"/>
      <c r="AD218" s="40"/>
      <c r="AE218" s="40"/>
      <c r="AF218" s="40"/>
      <c r="AG218" s="40"/>
      <c r="AH218" s="40"/>
      <c r="AI218" s="40"/>
      <c r="AJ218" s="40"/>
      <c r="AK218" s="40"/>
      <c r="AL218" s="40"/>
      <c r="AM218" s="40"/>
      <c r="AN218" s="40"/>
      <c r="AO218" s="40"/>
      <c r="AP218" s="40"/>
      <c r="AQ218" s="40"/>
      <c r="AR218" s="40"/>
      <c r="AS218" s="40"/>
      <c r="AT218" s="40"/>
      <c r="AU218" s="40"/>
      <c r="AV218" s="40"/>
      <c r="AW218" s="40"/>
      <c r="AX218" s="40"/>
      <c r="AY218" s="40"/>
      <c r="AZ218" s="40"/>
      <c r="BA218" s="40"/>
      <c r="BB218" s="40"/>
      <c r="BC218" s="40"/>
      <c r="BD218" s="40"/>
      <c r="BE218" s="40"/>
      <c r="BF218" s="40"/>
      <c r="BG218" s="40"/>
      <c r="BH218" s="40"/>
    </row>
    <row r="219" spans="1:60" x14ac:dyDescent="0.25">
      <c r="A219" s="40"/>
      <c r="J219" s="40"/>
      <c r="K219" s="40"/>
      <c r="L219" s="40"/>
      <c r="M219" s="40"/>
      <c r="N219" s="40"/>
      <c r="O219" s="40"/>
      <c r="P219" s="40"/>
      <c r="Q219" s="40"/>
      <c r="R219" s="40"/>
      <c r="S219" s="40"/>
      <c r="T219" s="40"/>
      <c r="U219" s="40"/>
      <c r="V219" s="40"/>
      <c r="W219" s="40"/>
      <c r="X219" s="40"/>
      <c r="Y219" s="40"/>
      <c r="Z219" s="40"/>
      <c r="AA219" s="40"/>
      <c r="AB219" s="40"/>
      <c r="AC219" s="40"/>
      <c r="AD219" s="40"/>
      <c r="AE219" s="40"/>
      <c r="AF219" s="40"/>
      <c r="AG219" s="40"/>
      <c r="AH219" s="40"/>
      <c r="AI219" s="40"/>
      <c r="AJ219" s="40"/>
      <c r="AK219" s="40"/>
      <c r="AL219" s="40"/>
      <c r="AM219" s="40"/>
      <c r="AN219" s="40"/>
      <c r="AO219" s="40"/>
      <c r="AP219" s="40"/>
      <c r="AQ219" s="40"/>
      <c r="AR219" s="40"/>
      <c r="AS219" s="40"/>
      <c r="AT219" s="40"/>
      <c r="AU219" s="40"/>
      <c r="AV219" s="40"/>
      <c r="AW219" s="40"/>
      <c r="AX219" s="40"/>
      <c r="AY219" s="40"/>
      <c r="AZ219" s="40"/>
      <c r="BA219" s="40"/>
      <c r="BB219" s="40"/>
      <c r="BC219" s="40"/>
      <c r="BD219" s="40"/>
      <c r="BE219" s="40"/>
      <c r="BF219" s="40"/>
      <c r="BG219" s="40"/>
      <c r="BH219" s="40"/>
    </row>
    <row r="220" spans="1:60" x14ac:dyDescent="0.25">
      <c r="A220" s="40"/>
      <c r="J220" s="40"/>
      <c r="K220" s="40"/>
      <c r="L220" s="40"/>
      <c r="M220" s="40"/>
      <c r="N220" s="40"/>
      <c r="O220" s="40"/>
      <c r="P220" s="40"/>
      <c r="Q220" s="40"/>
      <c r="R220" s="40"/>
      <c r="S220" s="40"/>
      <c r="T220" s="40"/>
      <c r="U220" s="40"/>
      <c r="V220" s="40"/>
      <c r="W220" s="40"/>
      <c r="X220" s="40"/>
      <c r="Y220" s="40"/>
      <c r="Z220" s="40"/>
      <c r="AA220" s="40"/>
      <c r="AB220" s="40"/>
      <c r="AC220" s="40"/>
      <c r="AD220" s="40"/>
      <c r="AE220" s="40"/>
      <c r="AF220" s="40"/>
      <c r="AG220" s="40"/>
      <c r="AH220" s="40"/>
      <c r="AI220" s="40"/>
      <c r="AJ220" s="40"/>
      <c r="AK220" s="40"/>
      <c r="AL220" s="40"/>
      <c r="AM220" s="40"/>
      <c r="AN220" s="40"/>
      <c r="AO220" s="40"/>
      <c r="AP220" s="40"/>
      <c r="AQ220" s="40"/>
      <c r="AR220" s="40"/>
      <c r="AS220" s="40"/>
      <c r="AT220" s="40"/>
      <c r="AU220" s="40"/>
      <c r="AV220" s="40"/>
      <c r="AW220" s="40"/>
      <c r="AX220" s="40"/>
      <c r="AY220" s="40"/>
      <c r="AZ220" s="40"/>
      <c r="BA220" s="40"/>
      <c r="BB220" s="40"/>
      <c r="BC220" s="40"/>
      <c r="BD220" s="40"/>
      <c r="BE220" s="40"/>
      <c r="BF220" s="40"/>
      <c r="BG220" s="40"/>
      <c r="BH220" s="40"/>
    </row>
    <row r="221" spans="1:60" x14ac:dyDescent="0.25">
      <c r="A221" s="40"/>
      <c r="J221" s="40"/>
      <c r="K221" s="40"/>
      <c r="L221" s="40"/>
      <c r="M221" s="40"/>
      <c r="N221" s="40"/>
      <c r="O221" s="40"/>
      <c r="P221" s="40"/>
      <c r="Q221" s="40"/>
      <c r="R221" s="40"/>
      <c r="S221" s="40"/>
      <c r="T221" s="40"/>
      <c r="U221" s="40"/>
      <c r="V221" s="40"/>
      <c r="W221" s="40"/>
      <c r="X221" s="40"/>
      <c r="Y221" s="40"/>
      <c r="Z221" s="40"/>
      <c r="AA221" s="40"/>
      <c r="AB221" s="40"/>
      <c r="AC221" s="40"/>
      <c r="AD221" s="40"/>
      <c r="AE221" s="40"/>
      <c r="AF221" s="40"/>
      <c r="AG221" s="40"/>
      <c r="AH221" s="40"/>
      <c r="AI221" s="40"/>
      <c r="AJ221" s="40"/>
      <c r="AK221" s="40"/>
      <c r="AL221" s="40"/>
      <c r="AM221" s="40"/>
      <c r="AN221" s="40"/>
      <c r="AO221" s="40"/>
      <c r="AP221" s="40"/>
      <c r="AQ221" s="40"/>
      <c r="AR221" s="40"/>
      <c r="AS221" s="40"/>
      <c r="AT221" s="40"/>
      <c r="AU221" s="40"/>
      <c r="AV221" s="40"/>
      <c r="AW221" s="40"/>
      <c r="AX221" s="40"/>
      <c r="AY221" s="40"/>
      <c r="AZ221" s="40"/>
      <c r="BA221" s="40"/>
      <c r="BB221" s="40"/>
      <c r="BC221" s="40"/>
      <c r="BD221" s="40"/>
      <c r="BE221" s="40"/>
      <c r="BF221" s="40"/>
      <c r="BG221" s="40"/>
      <c r="BH221" s="40"/>
    </row>
    <row r="222" spans="1:60" x14ac:dyDescent="0.25">
      <c r="A222" s="40"/>
      <c r="J222" s="40"/>
      <c r="K222" s="40"/>
      <c r="L222" s="40"/>
      <c r="M222" s="40"/>
      <c r="N222" s="40"/>
      <c r="O222" s="40"/>
      <c r="P222" s="40"/>
      <c r="Q222" s="40"/>
      <c r="R222" s="40"/>
      <c r="S222" s="40"/>
      <c r="T222" s="40"/>
      <c r="U222" s="40"/>
      <c r="V222" s="40"/>
      <c r="W222" s="40"/>
      <c r="X222" s="40"/>
      <c r="Y222" s="40"/>
      <c r="Z222" s="40"/>
      <c r="AA222" s="40"/>
      <c r="AB222" s="40"/>
      <c r="AC222" s="40"/>
      <c r="AD222" s="40"/>
      <c r="AE222" s="40"/>
      <c r="AF222" s="40"/>
      <c r="AG222" s="40"/>
      <c r="AH222" s="40"/>
      <c r="AI222" s="40"/>
      <c r="AJ222" s="40"/>
      <c r="AK222" s="40"/>
      <c r="AL222" s="40"/>
      <c r="AM222" s="40"/>
      <c r="AN222" s="40"/>
      <c r="AO222" s="40"/>
      <c r="AP222" s="40"/>
      <c r="AQ222" s="40"/>
      <c r="AR222" s="40"/>
      <c r="AS222" s="40"/>
      <c r="AT222" s="40"/>
      <c r="AU222" s="40"/>
      <c r="AV222" s="40"/>
      <c r="AW222" s="40"/>
      <c r="AX222" s="40"/>
      <c r="AY222" s="40"/>
      <c r="AZ222" s="40"/>
      <c r="BA222" s="40"/>
      <c r="BB222" s="40"/>
      <c r="BC222" s="40"/>
      <c r="BD222" s="40"/>
      <c r="BE222" s="40"/>
      <c r="BF222" s="40"/>
      <c r="BG222" s="40"/>
      <c r="BH222" s="40"/>
    </row>
    <row r="223" spans="1:60" x14ac:dyDescent="0.25">
      <c r="A223" s="40"/>
      <c r="J223" s="40"/>
      <c r="K223" s="40"/>
      <c r="L223" s="40"/>
      <c r="M223" s="40"/>
      <c r="N223" s="40"/>
      <c r="O223" s="40"/>
      <c r="P223" s="40"/>
      <c r="Q223" s="40"/>
      <c r="R223" s="40"/>
      <c r="S223" s="40"/>
      <c r="T223" s="40"/>
      <c r="U223" s="40"/>
      <c r="V223" s="40"/>
      <c r="W223" s="40"/>
      <c r="X223" s="40"/>
      <c r="Y223" s="40"/>
      <c r="Z223" s="40"/>
      <c r="AA223" s="40"/>
      <c r="AB223" s="40"/>
      <c r="AC223" s="40"/>
      <c r="AD223" s="40"/>
      <c r="AE223" s="40"/>
      <c r="AF223" s="40"/>
      <c r="AG223" s="40"/>
      <c r="AH223" s="40"/>
      <c r="AI223" s="40"/>
      <c r="AJ223" s="40"/>
      <c r="AK223" s="40"/>
      <c r="AL223" s="40"/>
      <c r="AM223" s="40"/>
      <c r="AN223" s="40"/>
      <c r="AO223" s="40"/>
      <c r="AP223" s="40"/>
      <c r="AQ223" s="40"/>
      <c r="AR223" s="40"/>
      <c r="AS223" s="40"/>
      <c r="AT223" s="40"/>
      <c r="AU223" s="40"/>
      <c r="AV223" s="40"/>
      <c r="AW223" s="40"/>
      <c r="AX223" s="40"/>
      <c r="AY223" s="40"/>
      <c r="AZ223" s="40"/>
      <c r="BA223" s="40"/>
      <c r="BB223" s="40"/>
      <c r="BC223" s="40"/>
      <c r="BD223" s="40"/>
      <c r="BE223" s="40"/>
      <c r="BF223" s="40"/>
      <c r="BG223" s="40"/>
      <c r="BH223" s="40"/>
    </row>
    <row r="224" spans="1:60" x14ac:dyDescent="0.25">
      <c r="A224" s="40"/>
      <c r="J224" s="40"/>
      <c r="K224" s="40"/>
      <c r="L224" s="40"/>
      <c r="M224" s="40"/>
      <c r="N224" s="40"/>
      <c r="O224" s="40"/>
      <c r="P224" s="40"/>
      <c r="Q224" s="40"/>
      <c r="R224" s="40"/>
      <c r="S224" s="40"/>
      <c r="T224" s="40"/>
      <c r="U224" s="40"/>
      <c r="V224" s="40"/>
      <c r="W224" s="40"/>
      <c r="X224" s="40"/>
      <c r="Y224" s="40"/>
      <c r="Z224" s="40"/>
      <c r="AA224" s="40"/>
      <c r="AB224" s="40"/>
      <c r="AC224" s="40"/>
      <c r="AD224" s="40"/>
      <c r="AE224" s="40"/>
      <c r="AF224" s="40"/>
      <c r="AG224" s="40"/>
      <c r="AH224" s="40"/>
      <c r="AI224" s="40"/>
      <c r="AJ224" s="40"/>
      <c r="AK224" s="40"/>
      <c r="AL224" s="40"/>
      <c r="AM224" s="40"/>
      <c r="AN224" s="40"/>
      <c r="AO224" s="40"/>
      <c r="AP224" s="40"/>
      <c r="AQ224" s="40"/>
      <c r="AR224" s="40"/>
      <c r="AS224" s="40"/>
      <c r="AT224" s="40"/>
      <c r="AU224" s="40"/>
      <c r="AV224" s="40"/>
      <c r="AW224" s="40"/>
      <c r="AX224" s="40"/>
      <c r="AY224" s="40"/>
      <c r="AZ224" s="40"/>
      <c r="BA224" s="40"/>
      <c r="BB224" s="40"/>
      <c r="BC224" s="40"/>
      <c r="BD224" s="40"/>
      <c r="BE224" s="40"/>
      <c r="BF224" s="40"/>
      <c r="BG224" s="40"/>
      <c r="BH224" s="40"/>
    </row>
    <row r="225" spans="1:60" x14ac:dyDescent="0.25">
      <c r="A225" s="40"/>
      <c r="J225" s="40"/>
      <c r="K225" s="40"/>
      <c r="L225" s="40"/>
      <c r="M225" s="40"/>
      <c r="N225" s="40"/>
      <c r="O225" s="40"/>
      <c r="P225" s="40"/>
      <c r="Q225" s="40"/>
      <c r="R225" s="40"/>
      <c r="S225" s="40"/>
      <c r="T225" s="40"/>
      <c r="U225" s="40"/>
      <c r="V225" s="40"/>
      <c r="W225" s="40"/>
      <c r="X225" s="40"/>
      <c r="Y225" s="40"/>
      <c r="Z225" s="40"/>
      <c r="AA225" s="40"/>
      <c r="AB225" s="40"/>
      <c r="AC225" s="40"/>
      <c r="AD225" s="40"/>
      <c r="AE225" s="40"/>
      <c r="AF225" s="40"/>
      <c r="AG225" s="40"/>
      <c r="AH225" s="40"/>
      <c r="AI225" s="40"/>
      <c r="AJ225" s="40"/>
      <c r="AK225" s="40"/>
      <c r="AL225" s="40"/>
      <c r="AM225" s="40"/>
      <c r="AN225" s="40"/>
      <c r="AO225" s="40"/>
      <c r="AP225" s="40"/>
      <c r="AQ225" s="40"/>
      <c r="AR225" s="40"/>
      <c r="AS225" s="40"/>
      <c r="AT225" s="40"/>
      <c r="AU225" s="40"/>
      <c r="AV225" s="40"/>
      <c r="AW225" s="40"/>
      <c r="AX225" s="40"/>
      <c r="AY225" s="40"/>
      <c r="AZ225" s="40"/>
      <c r="BA225" s="40"/>
      <c r="BB225" s="40"/>
      <c r="BC225" s="40"/>
      <c r="BD225" s="40"/>
      <c r="BE225" s="40"/>
      <c r="BF225" s="40"/>
      <c r="BG225" s="40"/>
      <c r="BH225" s="40"/>
    </row>
    <row r="226" spans="1:60" x14ac:dyDescent="0.25">
      <c r="A226" s="40"/>
      <c r="J226" s="40"/>
      <c r="K226" s="40"/>
      <c r="L226" s="40"/>
      <c r="M226" s="40"/>
      <c r="N226" s="40"/>
      <c r="O226" s="40"/>
      <c r="P226" s="40"/>
      <c r="Q226" s="40"/>
      <c r="R226" s="40"/>
      <c r="S226" s="40"/>
      <c r="T226" s="40"/>
      <c r="U226" s="40"/>
      <c r="V226" s="40"/>
      <c r="W226" s="40"/>
      <c r="X226" s="40"/>
      <c r="Y226" s="40"/>
      <c r="Z226" s="40"/>
      <c r="AA226" s="40"/>
      <c r="AB226" s="40"/>
      <c r="AC226" s="40"/>
      <c r="AD226" s="40"/>
      <c r="AE226" s="40"/>
      <c r="AF226" s="40"/>
      <c r="AG226" s="40"/>
      <c r="AH226" s="40"/>
      <c r="AI226" s="40"/>
      <c r="AJ226" s="40"/>
      <c r="AK226" s="40"/>
      <c r="AL226" s="40"/>
      <c r="AM226" s="40"/>
      <c r="AN226" s="40"/>
      <c r="AO226" s="40"/>
      <c r="AP226" s="40"/>
      <c r="AQ226" s="40"/>
      <c r="AR226" s="40"/>
      <c r="AS226" s="40"/>
      <c r="AT226" s="40"/>
      <c r="AU226" s="40"/>
      <c r="AV226" s="40"/>
      <c r="AW226" s="40"/>
      <c r="AX226" s="40"/>
      <c r="AY226" s="40"/>
      <c r="AZ226" s="40"/>
      <c r="BA226" s="40"/>
      <c r="BB226" s="40"/>
      <c r="BC226" s="40"/>
      <c r="BD226" s="40"/>
      <c r="BE226" s="40"/>
      <c r="BF226" s="40"/>
      <c r="BG226" s="40"/>
      <c r="BH226" s="40"/>
    </row>
    <row r="227" spans="1:60" x14ac:dyDescent="0.25">
      <c r="A227" s="40"/>
      <c r="J227" s="40"/>
      <c r="K227" s="40"/>
      <c r="L227" s="40"/>
      <c r="M227" s="40"/>
      <c r="N227" s="40"/>
      <c r="O227" s="40"/>
      <c r="P227" s="40"/>
      <c r="Q227" s="40"/>
      <c r="R227" s="40"/>
      <c r="S227" s="40"/>
      <c r="T227" s="40"/>
      <c r="U227" s="40"/>
      <c r="V227" s="40"/>
      <c r="W227" s="40"/>
      <c r="X227" s="40"/>
      <c r="Y227" s="40"/>
      <c r="Z227" s="40"/>
      <c r="AA227" s="40"/>
      <c r="AB227" s="40"/>
      <c r="AC227" s="40"/>
      <c r="AD227" s="40"/>
      <c r="AE227" s="40"/>
      <c r="AF227" s="40"/>
      <c r="AG227" s="40"/>
      <c r="AH227" s="40"/>
      <c r="AI227" s="40"/>
      <c r="AJ227" s="40"/>
      <c r="AK227" s="40"/>
      <c r="AL227" s="40"/>
      <c r="AM227" s="40"/>
      <c r="AN227" s="40"/>
      <c r="AO227" s="40"/>
      <c r="AP227" s="40"/>
      <c r="AQ227" s="40"/>
      <c r="AR227" s="40"/>
      <c r="AS227" s="40"/>
      <c r="AT227" s="40"/>
      <c r="AU227" s="40"/>
      <c r="AV227" s="40"/>
      <c r="AW227" s="40"/>
      <c r="AX227" s="40"/>
      <c r="AY227" s="40"/>
      <c r="AZ227" s="40"/>
      <c r="BA227" s="40"/>
      <c r="BB227" s="40"/>
      <c r="BC227" s="40"/>
      <c r="BD227" s="40"/>
      <c r="BE227" s="40"/>
      <c r="BF227" s="40"/>
      <c r="BG227" s="40"/>
      <c r="BH227" s="40"/>
    </row>
    <row r="228" spans="1:60" x14ac:dyDescent="0.25">
      <c r="A228" s="40"/>
      <c r="J228" s="40"/>
      <c r="K228" s="40"/>
      <c r="L228" s="40"/>
      <c r="M228" s="40"/>
      <c r="N228" s="40"/>
      <c r="O228" s="40"/>
      <c r="P228" s="40"/>
      <c r="Q228" s="40"/>
      <c r="R228" s="40"/>
      <c r="S228" s="40"/>
      <c r="T228" s="40"/>
      <c r="U228" s="40"/>
      <c r="V228" s="40"/>
      <c r="W228" s="40"/>
      <c r="X228" s="40"/>
      <c r="Y228" s="40"/>
      <c r="Z228" s="40"/>
      <c r="AA228" s="40"/>
      <c r="AB228" s="40"/>
      <c r="AC228" s="40"/>
      <c r="AD228" s="40"/>
      <c r="AE228" s="40"/>
      <c r="AF228" s="40"/>
      <c r="AG228" s="40"/>
      <c r="AH228" s="40"/>
      <c r="AI228" s="40"/>
      <c r="AJ228" s="40"/>
      <c r="AK228" s="40"/>
      <c r="AL228" s="40"/>
      <c r="AM228" s="40"/>
      <c r="AN228" s="40"/>
      <c r="AO228" s="40"/>
      <c r="AP228" s="40"/>
      <c r="AQ228" s="40"/>
      <c r="AR228" s="40"/>
      <c r="AS228" s="40"/>
      <c r="AT228" s="40"/>
      <c r="AU228" s="40"/>
      <c r="AV228" s="40"/>
      <c r="AW228" s="40"/>
      <c r="AX228" s="40"/>
      <c r="AY228" s="40"/>
      <c r="AZ228" s="40"/>
      <c r="BA228" s="40"/>
      <c r="BB228" s="40"/>
      <c r="BC228" s="40"/>
      <c r="BD228" s="40"/>
      <c r="BE228" s="40"/>
      <c r="BF228" s="40"/>
      <c r="BG228" s="40"/>
      <c r="BH228" s="40"/>
    </row>
    <row r="229" spans="1:60" x14ac:dyDescent="0.25">
      <c r="A229" s="40"/>
      <c r="J229" s="40"/>
      <c r="K229" s="40"/>
      <c r="L229" s="40"/>
      <c r="M229" s="40"/>
      <c r="N229" s="40"/>
      <c r="O229" s="40"/>
      <c r="P229" s="40"/>
      <c r="Q229" s="40"/>
      <c r="R229" s="40"/>
      <c r="S229" s="40"/>
      <c r="T229" s="40"/>
      <c r="U229" s="40"/>
      <c r="V229" s="40"/>
      <c r="W229" s="40"/>
      <c r="X229" s="40"/>
      <c r="Y229" s="40"/>
      <c r="Z229" s="40"/>
      <c r="AA229" s="40"/>
      <c r="AB229" s="40"/>
      <c r="AC229" s="40"/>
      <c r="AD229" s="40"/>
      <c r="AE229" s="40"/>
      <c r="AF229" s="40"/>
      <c r="AG229" s="40"/>
      <c r="AH229" s="40"/>
      <c r="AI229" s="40"/>
      <c r="AJ229" s="40"/>
      <c r="AK229" s="40"/>
      <c r="AL229" s="40"/>
      <c r="AM229" s="40"/>
      <c r="AN229" s="40"/>
      <c r="AO229" s="40"/>
      <c r="AP229" s="40"/>
      <c r="AQ229" s="40"/>
      <c r="AR229" s="40"/>
      <c r="AS229" s="40"/>
      <c r="AT229" s="40"/>
      <c r="AU229" s="40"/>
      <c r="AV229" s="40"/>
      <c r="AW229" s="40"/>
      <c r="AX229" s="40"/>
      <c r="AY229" s="40"/>
      <c r="AZ229" s="40"/>
      <c r="BA229" s="40"/>
      <c r="BB229" s="40"/>
      <c r="BC229" s="40"/>
      <c r="BD229" s="40"/>
      <c r="BE229" s="40"/>
      <c r="BF229" s="40"/>
      <c r="BG229" s="40"/>
      <c r="BH229" s="40"/>
    </row>
    <row r="230" spans="1:60" x14ac:dyDescent="0.25">
      <c r="A230" s="40"/>
      <c r="J230" s="40"/>
      <c r="K230" s="40"/>
      <c r="L230" s="40"/>
      <c r="M230" s="40"/>
      <c r="N230" s="40"/>
      <c r="O230" s="40"/>
      <c r="P230" s="40"/>
      <c r="Q230" s="40"/>
      <c r="R230" s="40"/>
      <c r="S230" s="40"/>
      <c r="T230" s="40"/>
      <c r="U230" s="40"/>
      <c r="V230" s="40"/>
      <c r="W230" s="40"/>
      <c r="X230" s="40"/>
      <c r="Y230" s="40"/>
      <c r="Z230" s="40"/>
      <c r="AA230" s="40"/>
      <c r="AB230" s="40"/>
      <c r="AC230" s="40"/>
      <c r="AD230" s="40"/>
      <c r="AE230" s="40"/>
      <c r="AF230" s="40"/>
      <c r="AG230" s="40"/>
      <c r="AH230" s="40"/>
      <c r="AI230" s="40"/>
      <c r="AJ230" s="40"/>
      <c r="AK230" s="40"/>
      <c r="AL230" s="40"/>
      <c r="AM230" s="40"/>
      <c r="AN230" s="40"/>
      <c r="AO230" s="40"/>
      <c r="AP230" s="40"/>
      <c r="AQ230" s="40"/>
      <c r="AR230" s="40"/>
      <c r="AS230" s="40"/>
      <c r="AT230" s="40"/>
      <c r="AU230" s="40"/>
      <c r="AV230" s="40"/>
      <c r="AW230" s="40"/>
      <c r="AX230" s="40"/>
      <c r="AY230" s="40"/>
      <c r="AZ230" s="40"/>
      <c r="BA230" s="40"/>
      <c r="BB230" s="40"/>
      <c r="BC230" s="40"/>
      <c r="BD230" s="40"/>
      <c r="BE230" s="40"/>
      <c r="BF230" s="40"/>
      <c r="BG230" s="40"/>
      <c r="BH230" s="40"/>
    </row>
    <row r="231" spans="1:60" x14ac:dyDescent="0.25">
      <c r="A231" s="40"/>
      <c r="J231" s="40"/>
      <c r="K231" s="40"/>
      <c r="L231" s="40"/>
      <c r="M231" s="40"/>
      <c r="N231" s="40"/>
      <c r="O231" s="40"/>
      <c r="P231" s="40"/>
      <c r="Q231" s="40"/>
      <c r="R231" s="40"/>
      <c r="S231" s="40"/>
      <c r="T231" s="40"/>
      <c r="U231" s="40"/>
      <c r="V231" s="40"/>
      <c r="W231" s="40"/>
      <c r="X231" s="40"/>
      <c r="Y231" s="40"/>
      <c r="Z231" s="40"/>
      <c r="AA231" s="40"/>
      <c r="AB231" s="40"/>
      <c r="AC231" s="40"/>
      <c r="AD231" s="40"/>
      <c r="AE231" s="40"/>
      <c r="AF231" s="40"/>
      <c r="AG231" s="40"/>
      <c r="AH231" s="40"/>
      <c r="AI231" s="40"/>
      <c r="AJ231" s="40"/>
      <c r="AK231" s="40"/>
      <c r="AL231" s="40"/>
      <c r="AM231" s="40"/>
      <c r="AN231" s="40"/>
      <c r="AO231" s="40"/>
      <c r="AP231" s="40"/>
      <c r="AQ231" s="40"/>
      <c r="AR231" s="40"/>
      <c r="AS231" s="40"/>
      <c r="AT231" s="40"/>
      <c r="AU231" s="40"/>
      <c r="AV231" s="40"/>
      <c r="AW231" s="40"/>
      <c r="AX231" s="40"/>
      <c r="AY231" s="40"/>
      <c r="AZ231" s="40"/>
      <c r="BA231" s="40"/>
      <c r="BB231" s="40"/>
      <c r="BC231" s="40"/>
      <c r="BD231" s="40"/>
      <c r="BE231" s="40"/>
      <c r="BF231" s="40"/>
      <c r="BG231" s="40"/>
      <c r="BH231" s="40"/>
    </row>
    <row r="232" spans="1:60" x14ac:dyDescent="0.25">
      <c r="A232" s="40"/>
      <c r="J232" s="40"/>
      <c r="K232" s="40"/>
      <c r="L232" s="40"/>
      <c r="M232" s="40"/>
      <c r="N232" s="40"/>
      <c r="O232" s="40"/>
      <c r="P232" s="40"/>
      <c r="Q232" s="40"/>
      <c r="R232" s="40"/>
      <c r="S232" s="40"/>
      <c r="T232" s="40"/>
      <c r="U232" s="40"/>
      <c r="V232" s="40"/>
      <c r="W232" s="40"/>
      <c r="X232" s="40"/>
      <c r="Y232" s="40"/>
      <c r="Z232" s="40"/>
      <c r="AA232" s="40"/>
      <c r="AB232" s="40"/>
      <c r="AC232" s="40"/>
      <c r="AD232" s="40"/>
      <c r="AE232" s="40"/>
      <c r="AF232" s="40"/>
      <c r="AG232" s="40"/>
      <c r="AH232" s="40"/>
      <c r="AI232" s="40"/>
      <c r="AJ232" s="40"/>
      <c r="AK232" s="40"/>
      <c r="AL232" s="40"/>
      <c r="AM232" s="40"/>
      <c r="AN232" s="40"/>
      <c r="AO232" s="40"/>
      <c r="AP232" s="40"/>
      <c r="AQ232" s="40"/>
      <c r="AR232" s="40"/>
      <c r="AS232" s="40"/>
      <c r="AT232" s="40"/>
      <c r="AU232" s="40"/>
      <c r="AV232" s="40"/>
      <c r="AW232" s="40"/>
      <c r="AX232" s="40"/>
      <c r="AY232" s="40"/>
      <c r="AZ232" s="40"/>
      <c r="BA232" s="40"/>
      <c r="BB232" s="40"/>
      <c r="BC232" s="40"/>
      <c r="BD232" s="40"/>
      <c r="BE232" s="40"/>
      <c r="BF232" s="40"/>
      <c r="BG232" s="40"/>
      <c r="BH232" s="40"/>
    </row>
    <row r="233" spans="1:60" x14ac:dyDescent="0.25">
      <c r="A233" s="40"/>
      <c r="J233" s="40"/>
      <c r="K233" s="40"/>
      <c r="L233" s="40"/>
      <c r="M233" s="40"/>
      <c r="N233" s="40"/>
      <c r="O233" s="40"/>
      <c r="P233" s="40"/>
      <c r="Q233" s="40"/>
      <c r="R233" s="40"/>
      <c r="S233" s="40"/>
      <c r="T233" s="40"/>
      <c r="U233" s="40"/>
      <c r="V233" s="40"/>
      <c r="W233" s="40"/>
      <c r="X233" s="40"/>
      <c r="Y233" s="40"/>
      <c r="Z233" s="40"/>
      <c r="AA233" s="40"/>
      <c r="AB233" s="40"/>
      <c r="AC233" s="40"/>
      <c r="AD233" s="40"/>
      <c r="AE233" s="40"/>
      <c r="AF233" s="40"/>
      <c r="AG233" s="40"/>
      <c r="AH233" s="40"/>
      <c r="AI233" s="40"/>
      <c r="AJ233" s="40"/>
      <c r="AK233" s="40"/>
      <c r="AL233" s="40"/>
      <c r="AM233" s="40"/>
      <c r="AN233" s="40"/>
      <c r="AO233" s="40"/>
      <c r="AP233" s="40"/>
      <c r="AQ233" s="40"/>
      <c r="AR233" s="40"/>
      <c r="AS233" s="40"/>
      <c r="AT233" s="40"/>
      <c r="AU233" s="40"/>
      <c r="AV233" s="40"/>
      <c r="AW233" s="40"/>
      <c r="AX233" s="40"/>
      <c r="AY233" s="40"/>
      <c r="AZ233" s="40"/>
      <c r="BA233" s="40"/>
      <c r="BB233" s="40"/>
      <c r="BC233" s="40"/>
      <c r="BD233" s="40"/>
      <c r="BE233" s="40"/>
      <c r="BF233" s="40"/>
      <c r="BG233" s="40"/>
      <c r="BH233" s="40"/>
    </row>
    <row r="234" spans="1:60" x14ac:dyDescent="0.25">
      <c r="A234" s="40"/>
      <c r="J234" s="40"/>
      <c r="K234" s="40"/>
      <c r="L234" s="40"/>
      <c r="M234" s="40"/>
      <c r="N234" s="40"/>
      <c r="O234" s="40"/>
      <c r="P234" s="40"/>
      <c r="Q234" s="40"/>
      <c r="R234" s="40"/>
      <c r="S234" s="40"/>
      <c r="T234" s="40"/>
      <c r="U234" s="40"/>
      <c r="V234" s="40"/>
      <c r="W234" s="40"/>
      <c r="X234" s="40"/>
      <c r="Y234" s="40"/>
      <c r="Z234" s="40"/>
      <c r="AA234" s="40"/>
      <c r="AB234" s="40"/>
      <c r="AC234" s="40"/>
      <c r="AD234" s="40"/>
      <c r="AE234" s="40"/>
      <c r="AF234" s="40"/>
      <c r="AG234" s="40"/>
      <c r="AH234" s="40"/>
      <c r="AI234" s="40"/>
      <c r="AJ234" s="40"/>
      <c r="AK234" s="40"/>
      <c r="AL234" s="40"/>
      <c r="AM234" s="40"/>
      <c r="AN234" s="40"/>
      <c r="AO234" s="40"/>
      <c r="AP234" s="40"/>
      <c r="AQ234" s="40"/>
      <c r="AR234" s="40"/>
      <c r="AS234" s="40"/>
      <c r="AT234" s="40"/>
      <c r="AU234" s="40"/>
      <c r="AV234" s="40"/>
      <c r="AW234" s="40"/>
      <c r="AX234" s="40"/>
      <c r="AY234" s="40"/>
      <c r="AZ234" s="40"/>
      <c r="BA234" s="40"/>
      <c r="BB234" s="40"/>
      <c r="BC234" s="40"/>
      <c r="BD234" s="40"/>
      <c r="BE234" s="40"/>
      <c r="BF234" s="40"/>
      <c r="BG234" s="40"/>
      <c r="BH234" s="40"/>
    </row>
    <row r="235" spans="1:60" x14ac:dyDescent="0.25">
      <c r="A235" s="40"/>
      <c r="J235" s="40"/>
      <c r="K235" s="40"/>
      <c r="L235" s="40"/>
      <c r="M235" s="40"/>
      <c r="N235" s="40"/>
      <c r="O235" s="40"/>
      <c r="P235" s="40"/>
      <c r="Q235" s="40"/>
      <c r="R235" s="40"/>
      <c r="S235" s="40"/>
      <c r="T235" s="40"/>
      <c r="U235" s="40"/>
      <c r="V235" s="40"/>
      <c r="W235" s="40"/>
      <c r="X235" s="40"/>
      <c r="Y235" s="40"/>
      <c r="Z235" s="40"/>
      <c r="AA235" s="40"/>
      <c r="AB235" s="40"/>
      <c r="AC235" s="40"/>
      <c r="AD235" s="40"/>
      <c r="AE235" s="40"/>
      <c r="AF235" s="40"/>
      <c r="AG235" s="40"/>
      <c r="AH235" s="40"/>
      <c r="AI235" s="40"/>
      <c r="AJ235" s="40"/>
      <c r="AK235" s="40"/>
      <c r="AL235" s="40"/>
      <c r="AM235" s="40"/>
      <c r="AN235" s="40"/>
      <c r="AO235" s="40"/>
      <c r="AP235" s="40"/>
      <c r="AQ235" s="40"/>
      <c r="AR235" s="40"/>
      <c r="AS235" s="40"/>
      <c r="AT235" s="40"/>
      <c r="AU235" s="40"/>
      <c r="AV235" s="40"/>
      <c r="AW235" s="40"/>
      <c r="AX235" s="40"/>
      <c r="AY235" s="40"/>
      <c r="AZ235" s="40"/>
      <c r="BA235" s="40"/>
      <c r="BB235" s="40"/>
      <c r="BC235" s="40"/>
      <c r="BD235" s="40"/>
      <c r="BE235" s="40"/>
      <c r="BF235" s="40"/>
      <c r="BG235" s="40"/>
      <c r="BH235" s="40"/>
    </row>
    <row r="236" spans="1:60" x14ac:dyDescent="0.25">
      <c r="A236" s="40"/>
      <c r="J236" s="40"/>
      <c r="K236" s="40"/>
      <c r="L236" s="40"/>
      <c r="M236" s="40"/>
      <c r="N236" s="40"/>
      <c r="O236" s="40"/>
      <c r="P236" s="40"/>
      <c r="Q236" s="40"/>
      <c r="R236" s="40"/>
      <c r="S236" s="40"/>
      <c r="T236" s="40"/>
      <c r="U236" s="40"/>
      <c r="V236" s="40"/>
      <c r="W236" s="40"/>
      <c r="X236" s="40"/>
      <c r="Y236" s="40"/>
      <c r="Z236" s="40"/>
      <c r="AA236" s="40"/>
      <c r="AB236" s="40"/>
      <c r="AC236" s="40"/>
      <c r="AD236" s="40"/>
      <c r="AE236" s="40"/>
      <c r="AF236" s="40"/>
      <c r="AG236" s="40"/>
      <c r="AH236" s="40"/>
      <c r="AI236" s="40"/>
      <c r="AJ236" s="40"/>
      <c r="AK236" s="40"/>
      <c r="AL236" s="40"/>
      <c r="AM236" s="40"/>
      <c r="AN236" s="40"/>
      <c r="AO236" s="40"/>
      <c r="AP236" s="40"/>
      <c r="AQ236" s="40"/>
      <c r="AR236" s="40"/>
      <c r="AS236" s="40"/>
      <c r="AT236" s="40"/>
      <c r="AU236" s="40"/>
      <c r="AV236" s="40"/>
      <c r="AW236" s="40"/>
      <c r="AX236" s="40"/>
      <c r="AY236" s="40"/>
      <c r="AZ236" s="40"/>
      <c r="BA236" s="40"/>
      <c r="BB236" s="40"/>
      <c r="BC236" s="40"/>
      <c r="BD236" s="40"/>
      <c r="BE236" s="40"/>
      <c r="BF236" s="40"/>
      <c r="BG236" s="40"/>
      <c r="BH236" s="40"/>
    </row>
    <row r="237" spans="1:60" x14ac:dyDescent="0.25">
      <c r="A237" s="40"/>
      <c r="J237" s="40"/>
      <c r="K237" s="40"/>
      <c r="L237" s="40"/>
      <c r="M237" s="40"/>
      <c r="N237" s="40"/>
      <c r="O237" s="40"/>
      <c r="P237" s="40"/>
      <c r="Q237" s="40"/>
      <c r="R237" s="40"/>
      <c r="S237" s="40"/>
      <c r="T237" s="40"/>
      <c r="U237" s="40"/>
      <c r="V237" s="40"/>
      <c r="W237" s="40"/>
      <c r="X237" s="40"/>
      <c r="Y237" s="40"/>
      <c r="Z237" s="40"/>
      <c r="AA237" s="40"/>
      <c r="AB237" s="40"/>
      <c r="AC237" s="40"/>
      <c r="AD237" s="40"/>
      <c r="AE237" s="40"/>
      <c r="AF237" s="40"/>
      <c r="AG237" s="40"/>
      <c r="AH237" s="40"/>
      <c r="AI237" s="40"/>
      <c r="AJ237" s="40"/>
      <c r="AK237" s="40"/>
      <c r="AL237" s="40"/>
      <c r="AM237" s="40"/>
      <c r="AN237" s="40"/>
      <c r="AO237" s="40"/>
      <c r="AP237" s="40"/>
      <c r="AQ237" s="40"/>
      <c r="AR237" s="40"/>
      <c r="AS237" s="40"/>
      <c r="AT237" s="40"/>
      <c r="AU237" s="40"/>
      <c r="AV237" s="40"/>
      <c r="AW237" s="40"/>
      <c r="AX237" s="40"/>
      <c r="AY237" s="40"/>
      <c r="AZ237" s="40"/>
      <c r="BA237" s="40"/>
      <c r="BB237" s="40"/>
      <c r="BC237" s="40"/>
      <c r="BD237" s="40"/>
      <c r="BE237" s="40"/>
      <c r="BF237" s="40"/>
      <c r="BG237" s="40"/>
      <c r="BH237" s="40"/>
    </row>
    <row r="238" spans="1:60" x14ac:dyDescent="0.25">
      <c r="A238" s="40"/>
      <c r="J238" s="40"/>
      <c r="K238" s="40"/>
      <c r="L238" s="40"/>
      <c r="M238" s="40"/>
      <c r="N238" s="40"/>
      <c r="O238" s="40"/>
      <c r="P238" s="40"/>
      <c r="Q238" s="40"/>
      <c r="R238" s="40"/>
      <c r="S238" s="40"/>
      <c r="T238" s="40"/>
      <c r="U238" s="40"/>
      <c r="V238" s="40"/>
      <c r="W238" s="40"/>
      <c r="X238" s="40"/>
      <c r="Y238" s="40"/>
      <c r="Z238" s="40"/>
      <c r="AA238" s="40"/>
      <c r="AB238" s="40"/>
      <c r="AC238" s="40"/>
      <c r="AD238" s="40"/>
      <c r="AE238" s="40"/>
      <c r="AF238" s="40"/>
      <c r="AG238" s="40"/>
      <c r="AH238" s="40"/>
      <c r="AI238" s="40"/>
      <c r="AJ238" s="40"/>
      <c r="AK238" s="40"/>
      <c r="AL238" s="40"/>
      <c r="AM238" s="40"/>
      <c r="AN238" s="40"/>
      <c r="AO238" s="40"/>
      <c r="AP238" s="40"/>
      <c r="AQ238" s="40"/>
      <c r="AR238" s="40"/>
      <c r="AS238" s="40"/>
      <c r="AT238" s="40"/>
      <c r="AU238" s="40"/>
      <c r="AV238" s="40"/>
      <c r="AW238" s="40"/>
      <c r="AX238" s="40"/>
      <c r="AY238" s="40"/>
      <c r="AZ238" s="40"/>
      <c r="BA238" s="40"/>
      <c r="BB238" s="40"/>
      <c r="BC238" s="40"/>
      <c r="BD238" s="40"/>
      <c r="BE238" s="40"/>
      <c r="BF238" s="40"/>
      <c r="BG238" s="40"/>
      <c r="BH238" s="40"/>
    </row>
    <row r="239" spans="1:60" x14ac:dyDescent="0.25">
      <c r="A239" s="40"/>
      <c r="J239" s="40"/>
      <c r="K239" s="40"/>
      <c r="L239" s="40"/>
      <c r="M239" s="40"/>
      <c r="N239" s="40"/>
      <c r="O239" s="40"/>
      <c r="P239" s="40"/>
      <c r="Q239" s="40"/>
      <c r="R239" s="40"/>
      <c r="S239" s="40"/>
      <c r="T239" s="40"/>
      <c r="U239" s="40"/>
      <c r="V239" s="40"/>
      <c r="W239" s="40"/>
      <c r="X239" s="40"/>
      <c r="Y239" s="40"/>
      <c r="Z239" s="40"/>
      <c r="AA239" s="40"/>
      <c r="AB239" s="40"/>
      <c r="AC239" s="40"/>
      <c r="AD239" s="40"/>
      <c r="AE239" s="40"/>
      <c r="AF239" s="40"/>
      <c r="AG239" s="40"/>
      <c r="AH239" s="40"/>
      <c r="AI239" s="40"/>
      <c r="AJ239" s="40"/>
      <c r="AK239" s="40"/>
      <c r="AL239" s="40"/>
      <c r="AM239" s="40"/>
      <c r="AN239" s="40"/>
      <c r="AO239" s="40"/>
      <c r="AP239" s="40"/>
      <c r="AQ239" s="40"/>
      <c r="AR239" s="40"/>
      <c r="AS239" s="40"/>
      <c r="AT239" s="40"/>
      <c r="AU239" s="40"/>
      <c r="AV239" s="40"/>
      <c r="AW239" s="40"/>
      <c r="AX239" s="40"/>
      <c r="AY239" s="40"/>
      <c r="AZ239" s="40"/>
      <c r="BA239" s="40"/>
      <c r="BB239" s="40"/>
      <c r="BC239" s="40"/>
      <c r="BD239" s="40"/>
      <c r="BE239" s="40"/>
      <c r="BF239" s="40"/>
      <c r="BG239" s="40"/>
      <c r="BH239" s="40"/>
    </row>
    <row r="240" spans="1:60" x14ac:dyDescent="0.25">
      <c r="A240" s="40"/>
      <c r="J240" s="40"/>
      <c r="K240" s="40"/>
      <c r="L240" s="40"/>
      <c r="M240" s="40"/>
      <c r="N240" s="40"/>
      <c r="O240" s="40"/>
      <c r="P240" s="40"/>
      <c r="Q240" s="40"/>
      <c r="R240" s="40"/>
      <c r="S240" s="40"/>
      <c r="T240" s="40"/>
      <c r="U240" s="40"/>
      <c r="V240" s="40"/>
      <c r="W240" s="40"/>
      <c r="X240" s="40"/>
      <c r="Y240" s="40"/>
      <c r="Z240" s="40"/>
      <c r="AA240" s="40"/>
      <c r="AB240" s="40"/>
      <c r="AC240" s="40"/>
      <c r="AD240" s="40"/>
      <c r="AE240" s="40"/>
      <c r="AF240" s="40"/>
      <c r="AG240" s="40"/>
      <c r="AH240" s="40"/>
      <c r="AI240" s="40"/>
      <c r="AJ240" s="40"/>
      <c r="AK240" s="40"/>
      <c r="AL240" s="40"/>
      <c r="AM240" s="40"/>
      <c r="AN240" s="40"/>
      <c r="AO240" s="40"/>
      <c r="AP240" s="40"/>
      <c r="AQ240" s="40"/>
      <c r="AR240" s="40"/>
      <c r="AS240" s="40"/>
      <c r="AT240" s="40"/>
      <c r="AU240" s="40"/>
      <c r="AV240" s="40"/>
      <c r="AW240" s="40"/>
      <c r="AX240" s="40"/>
      <c r="AY240" s="40"/>
      <c r="AZ240" s="40"/>
      <c r="BA240" s="40"/>
      <c r="BB240" s="40"/>
      <c r="BC240" s="40"/>
      <c r="BD240" s="40"/>
      <c r="BE240" s="40"/>
      <c r="BF240" s="40"/>
      <c r="BG240" s="40"/>
      <c r="BH240" s="40"/>
    </row>
    <row r="241" spans="1:60" x14ac:dyDescent="0.25">
      <c r="A241" s="40"/>
      <c r="J241" s="40"/>
      <c r="K241" s="40"/>
      <c r="L241" s="40"/>
      <c r="M241" s="40"/>
      <c r="N241" s="40"/>
      <c r="O241" s="40"/>
      <c r="P241" s="40"/>
      <c r="Q241" s="40"/>
      <c r="R241" s="40"/>
      <c r="S241" s="40"/>
      <c r="T241" s="40"/>
      <c r="U241" s="40"/>
      <c r="V241" s="40"/>
      <c r="W241" s="40"/>
      <c r="X241" s="40"/>
      <c r="Y241" s="40"/>
      <c r="Z241" s="40"/>
      <c r="AA241" s="40"/>
      <c r="AB241" s="40"/>
      <c r="AC241" s="40"/>
      <c r="AD241" s="40"/>
      <c r="AE241" s="40"/>
      <c r="AF241" s="40"/>
      <c r="AG241" s="40"/>
      <c r="AH241" s="40"/>
      <c r="AI241" s="40"/>
      <c r="AJ241" s="40"/>
      <c r="AK241" s="40"/>
      <c r="AL241" s="40"/>
      <c r="AM241" s="40"/>
      <c r="AN241" s="40"/>
      <c r="AO241" s="40"/>
      <c r="AP241" s="40"/>
      <c r="AQ241" s="40"/>
      <c r="AR241" s="40"/>
      <c r="AS241" s="40"/>
      <c r="AT241" s="40"/>
      <c r="AU241" s="40"/>
      <c r="AV241" s="40"/>
      <c r="AW241" s="40"/>
      <c r="AX241" s="40"/>
      <c r="AY241" s="40"/>
      <c r="AZ241" s="40"/>
      <c r="BA241" s="40"/>
      <c r="BB241" s="40"/>
      <c r="BC241" s="40"/>
      <c r="BD241" s="40"/>
      <c r="BE241" s="40"/>
      <c r="BF241" s="40"/>
      <c r="BG241" s="40"/>
      <c r="BH241" s="40"/>
    </row>
    <row r="242" spans="1:60" x14ac:dyDescent="0.25">
      <c r="A242" s="40"/>
      <c r="J242" s="40"/>
      <c r="K242" s="40"/>
      <c r="L242" s="40"/>
      <c r="M242" s="40"/>
      <c r="N242" s="40"/>
      <c r="O242" s="40"/>
      <c r="P242" s="40"/>
      <c r="Q242" s="40"/>
      <c r="R242" s="40"/>
      <c r="S242" s="40"/>
      <c r="T242" s="40"/>
      <c r="U242" s="40"/>
      <c r="V242" s="40"/>
      <c r="W242" s="40"/>
      <c r="X242" s="40"/>
      <c r="Y242" s="40"/>
      <c r="Z242" s="40"/>
      <c r="AA242" s="40"/>
      <c r="AB242" s="40"/>
      <c r="AC242" s="40"/>
      <c r="AD242" s="40"/>
      <c r="AE242" s="40"/>
      <c r="AF242" s="40"/>
      <c r="AG242" s="40"/>
      <c r="AH242" s="40"/>
      <c r="AI242" s="40"/>
      <c r="AJ242" s="40"/>
      <c r="AK242" s="40"/>
      <c r="AL242" s="40"/>
      <c r="AM242" s="40"/>
      <c r="AN242" s="40"/>
      <c r="AO242" s="40"/>
      <c r="AP242" s="40"/>
      <c r="AQ242" s="40"/>
      <c r="AR242" s="40"/>
      <c r="AS242" s="40"/>
      <c r="AT242" s="40"/>
      <c r="AU242" s="40"/>
      <c r="AV242" s="40"/>
      <c r="AW242" s="40"/>
      <c r="AX242" s="40"/>
      <c r="AY242" s="40"/>
      <c r="AZ242" s="40"/>
      <c r="BA242" s="40"/>
      <c r="BB242" s="40"/>
      <c r="BC242" s="40"/>
      <c r="BD242" s="40"/>
      <c r="BE242" s="40"/>
      <c r="BF242" s="40"/>
      <c r="BG242" s="40"/>
      <c r="BH242" s="40"/>
    </row>
    <row r="243" spans="1:60" x14ac:dyDescent="0.25">
      <c r="A243" s="40"/>
      <c r="J243" s="40"/>
      <c r="K243" s="40"/>
      <c r="L243" s="40"/>
      <c r="M243" s="40"/>
      <c r="N243" s="40"/>
      <c r="O243" s="40"/>
      <c r="P243" s="40"/>
      <c r="Q243" s="40"/>
      <c r="R243" s="40"/>
      <c r="S243" s="40"/>
      <c r="T243" s="40"/>
      <c r="U243" s="40"/>
      <c r="V243" s="40"/>
      <c r="W243" s="40"/>
      <c r="X243" s="40"/>
      <c r="Y243" s="40"/>
      <c r="Z243" s="40"/>
      <c r="AA243" s="40"/>
      <c r="AB243" s="40"/>
      <c r="AC243" s="40"/>
      <c r="AD243" s="40"/>
      <c r="AE243" s="40"/>
      <c r="AF243" s="40"/>
      <c r="AG243" s="40"/>
      <c r="AH243" s="40"/>
      <c r="AI243" s="40"/>
      <c r="AJ243" s="40"/>
      <c r="AK243" s="40"/>
      <c r="AL243" s="40"/>
      <c r="AM243" s="40"/>
      <c r="AN243" s="40"/>
      <c r="AO243" s="40"/>
      <c r="AP243" s="40"/>
      <c r="AQ243" s="40"/>
      <c r="AR243" s="40"/>
      <c r="AS243" s="40"/>
      <c r="AT243" s="40"/>
      <c r="AU243" s="40"/>
      <c r="AV243" s="40"/>
      <c r="AW243" s="40"/>
      <c r="AX243" s="40"/>
      <c r="AY243" s="40"/>
      <c r="AZ243" s="40"/>
      <c r="BA243" s="40"/>
      <c r="BB243" s="40"/>
      <c r="BC243" s="40"/>
      <c r="BD243" s="40"/>
      <c r="BE243" s="40"/>
      <c r="BF243" s="40"/>
      <c r="BG243" s="40"/>
      <c r="BH243" s="40"/>
    </row>
    <row r="244" spans="1:60" x14ac:dyDescent="0.25">
      <c r="A244" s="40"/>
      <c r="J244" s="40"/>
      <c r="K244" s="40"/>
      <c r="L244" s="40"/>
      <c r="M244" s="40"/>
      <c r="N244" s="40"/>
      <c r="O244" s="40"/>
      <c r="P244" s="40"/>
      <c r="Q244" s="40"/>
      <c r="R244" s="40"/>
      <c r="S244" s="40"/>
      <c r="T244" s="40"/>
      <c r="U244" s="40"/>
      <c r="V244" s="40"/>
      <c r="W244" s="40"/>
      <c r="X244" s="40"/>
      <c r="Y244" s="40"/>
      <c r="Z244" s="40"/>
      <c r="AA244" s="40"/>
      <c r="AB244" s="40"/>
      <c r="AC244" s="40"/>
      <c r="AD244" s="40"/>
      <c r="AE244" s="40"/>
      <c r="AF244" s="40"/>
      <c r="AG244" s="40"/>
      <c r="AH244" s="40"/>
      <c r="AI244" s="40"/>
      <c r="AJ244" s="40"/>
      <c r="AK244" s="40"/>
      <c r="AL244" s="40"/>
      <c r="AM244" s="40"/>
      <c r="AN244" s="40"/>
      <c r="AO244" s="40"/>
      <c r="AP244" s="40"/>
      <c r="AQ244" s="40"/>
      <c r="AR244" s="40"/>
      <c r="AS244" s="40"/>
      <c r="AT244" s="40"/>
      <c r="AU244" s="40"/>
      <c r="AV244" s="40"/>
      <c r="AW244" s="40"/>
      <c r="AX244" s="40"/>
      <c r="AY244" s="40"/>
      <c r="AZ244" s="40"/>
      <c r="BA244" s="40"/>
      <c r="BB244" s="40"/>
      <c r="BC244" s="40"/>
      <c r="BD244" s="40"/>
      <c r="BE244" s="40"/>
      <c r="BF244" s="40"/>
      <c r="BG244" s="40"/>
      <c r="BH244" s="40"/>
    </row>
    <row r="245" spans="1:60" x14ac:dyDescent="0.25">
      <c r="A245" s="40"/>
    </row>
    <row r="246" spans="1:60" x14ac:dyDescent="0.25">
      <c r="A246" s="40"/>
    </row>
    <row r="247" spans="1:60" x14ac:dyDescent="0.25">
      <c r="A247" s="40"/>
    </row>
    <row r="248" spans="1:60" x14ac:dyDescent="0.25">
      <c r="A248" s="40"/>
    </row>
  </sheetData>
  <sheetProtection algorithmName="SHA-512" hashValue="pk41qPkreGaIienBHjYN6qHrG0CgO529+BqkFfOkTGgU8ieLIk2ly7oHCkTe6nIJwtUs4b/6dT5t6eEiLeXG7Q==" saltValue="1Vg2zxH2JXOw6ZLmo/E9SA==" spinCount="100000" sheet="1" objects="1" scenarios="1"/>
  <mergeCells count="17">
    <mergeCell ref="J56:O61"/>
    <mergeCell ref="P56:U61"/>
    <mergeCell ref="V56:AA61"/>
    <mergeCell ref="AB56:AG61"/>
    <mergeCell ref="AH56:AM61"/>
    <mergeCell ref="AO16:AT25"/>
    <mergeCell ref="E16:I25"/>
    <mergeCell ref="AO6:AT15"/>
    <mergeCell ref="B2:I4"/>
    <mergeCell ref="J2:AM4"/>
    <mergeCell ref="B6:D55"/>
    <mergeCell ref="E6:I15"/>
    <mergeCell ref="E46:I55"/>
    <mergeCell ref="AO36:AT45"/>
    <mergeCell ref="E36:I45"/>
    <mergeCell ref="AO26:AT35"/>
    <mergeCell ref="E26:I35"/>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AK56"/>
  <sheetViews>
    <sheetView showGridLines="0" zoomScale="40" zoomScaleNormal="40" workbookViewId="0">
      <selection activeCell="C17" sqref="C17"/>
    </sheetView>
  </sheetViews>
  <sheetFormatPr baseColWidth="10" defaultColWidth="11.42578125" defaultRowHeight="14.25" x14ac:dyDescent="0.2"/>
  <cols>
    <col min="1" max="1" width="11.42578125" style="44"/>
    <col min="2" max="2" width="37.7109375" style="44" customWidth="1"/>
    <col min="3" max="3" width="142" style="44" customWidth="1"/>
    <col min="4" max="4" width="34.140625" style="44" customWidth="1"/>
    <col min="5" max="16384" width="11.42578125" style="44"/>
  </cols>
  <sheetData>
    <row r="2" spans="1:37" ht="33.75" x14ac:dyDescent="0.2">
      <c r="A2" s="43"/>
      <c r="B2" s="494" t="s">
        <v>653</v>
      </c>
      <c r="C2" s="494"/>
      <c r="D2" s="494"/>
      <c r="E2" s="43"/>
      <c r="F2" s="43"/>
      <c r="G2" s="43"/>
      <c r="H2" s="43"/>
      <c r="I2" s="43"/>
      <c r="J2" s="43"/>
      <c r="K2" s="43"/>
      <c r="L2" s="43"/>
      <c r="M2" s="43"/>
      <c r="N2" s="43"/>
      <c r="O2" s="43"/>
      <c r="P2" s="43"/>
      <c r="Q2" s="43"/>
      <c r="R2" s="43"/>
      <c r="S2" s="43"/>
      <c r="T2" s="43"/>
      <c r="U2" s="43"/>
      <c r="V2" s="43"/>
      <c r="W2" s="43"/>
      <c r="X2" s="43"/>
      <c r="Y2" s="43"/>
      <c r="Z2" s="43"/>
      <c r="AA2" s="43"/>
      <c r="AB2" s="43"/>
      <c r="AC2" s="43"/>
      <c r="AD2" s="43"/>
      <c r="AE2" s="43"/>
    </row>
    <row r="3" spans="1:37" x14ac:dyDescent="0.2">
      <c r="A3" s="43"/>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row>
    <row r="4" spans="1:37" ht="33.75" x14ac:dyDescent="0.2">
      <c r="A4" s="43"/>
      <c r="B4" s="60"/>
      <c r="C4" s="105" t="s">
        <v>654</v>
      </c>
      <c r="D4" s="105" t="s">
        <v>118</v>
      </c>
      <c r="E4" s="43"/>
      <c r="F4" s="43"/>
      <c r="G4" s="43"/>
      <c r="H4" s="43"/>
      <c r="I4" s="43"/>
      <c r="J4" s="43"/>
      <c r="K4" s="43"/>
      <c r="L4" s="43"/>
      <c r="M4" s="43"/>
      <c r="N4" s="43"/>
      <c r="O4" s="43"/>
      <c r="P4" s="43"/>
      <c r="Q4" s="43"/>
      <c r="R4" s="43"/>
      <c r="S4" s="43"/>
      <c r="T4" s="43"/>
      <c r="U4" s="43"/>
      <c r="V4" s="43"/>
      <c r="W4" s="43"/>
      <c r="X4" s="43"/>
      <c r="Y4" s="43"/>
      <c r="Z4" s="43"/>
      <c r="AA4" s="43"/>
      <c r="AB4" s="43"/>
      <c r="AC4" s="43"/>
      <c r="AD4" s="43"/>
      <c r="AE4" s="43"/>
    </row>
    <row r="5" spans="1:37" ht="33" x14ac:dyDescent="0.2">
      <c r="A5" s="43"/>
      <c r="B5" s="100" t="s">
        <v>156</v>
      </c>
      <c r="C5" s="98" t="s">
        <v>109</v>
      </c>
      <c r="D5" s="99">
        <v>0.2</v>
      </c>
      <c r="E5" s="43"/>
      <c r="F5" s="43"/>
      <c r="G5" s="43"/>
      <c r="H5" s="43"/>
      <c r="I5" s="43"/>
      <c r="J5" s="43"/>
      <c r="K5" s="43"/>
      <c r="L5" s="43"/>
      <c r="M5" s="43"/>
      <c r="N5" s="43"/>
      <c r="O5" s="43"/>
      <c r="P5" s="43"/>
      <c r="Q5" s="43"/>
      <c r="R5" s="43"/>
      <c r="S5" s="43"/>
      <c r="T5" s="43"/>
      <c r="U5" s="43"/>
      <c r="V5" s="43"/>
      <c r="W5" s="43"/>
      <c r="X5" s="43"/>
      <c r="Y5" s="43"/>
      <c r="Z5" s="43"/>
      <c r="AA5" s="43"/>
      <c r="AB5" s="43"/>
      <c r="AC5" s="43"/>
      <c r="AD5" s="43"/>
      <c r="AE5" s="43"/>
    </row>
    <row r="6" spans="1:37" ht="33" x14ac:dyDescent="0.2">
      <c r="A6" s="43"/>
      <c r="B6" s="101" t="s">
        <v>655</v>
      </c>
      <c r="C6" s="98" t="s">
        <v>130</v>
      </c>
      <c r="D6" s="99">
        <v>0.4</v>
      </c>
      <c r="E6" s="43"/>
      <c r="F6" s="43"/>
      <c r="G6" s="43"/>
      <c r="H6" s="43"/>
      <c r="I6" s="43"/>
      <c r="J6" s="43"/>
      <c r="K6" s="43"/>
      <c r="L6" s="43"/>
      <c r="M6" s="43"/>
      <c r="N6" s="43"/>
      <c r="O6" s="43"/>
      <c r="P6" s="43"/>
      <c r="Q6" s="43"/>
      <c r="R6" s="43"/>
      <c r="S6" s="43"/>
      <c r="T6" s="43"/>
      <c r="U6" s="43"/>
      <c r="V6" s="43"/>
      <c r="W6" s="43"/>
      <c r="X6" s="43"/>
      <c r="Y6" s="43"/>
      <c r="Z6" s="43"/>
      <c r="AA6" s="43"/>
      <c r="AB6" s="43"/>
      <c r="AC6" s="43"/>
      <c r="AD6" s="43"/>
      <c r="AE6" s="43"/>
    </row>
    <row r="7" spans="1:37" ht="66" x14ac:dyDescent="0.2">
      <c r="A7" s="43"/>
      <c r="B7" s="102" t="s">
        <v>656</v>
      </c>
      <c r="C7" s="98" t="s">
        <v>657</v>
      </c>
      <c r="D7" s="99">
        <v>0.6</v>
      </c>
      <c r="E7" s="43"/>
      <c r="F7" s="43"/>
      <c r="G7" s="43"/>
      <c r="H7" s="43"/>
      <c r="I7" s="43"/>
      <c r="J7" s="43"/>
      <c r="K7" s="43"/>
      <c r="L7" s="43"/>
      <c r="M7" s="43"/>
      <c r="N7" s="43"/>
      <c r="O7" s="43"/>
      <c r="P7" s="43"/>
      <c r="Q7" s="43"/>
      <c r="R7" s="43"/>
      <c r="S7" s="43"/>
      <c r="T7" s="43"/>
      <c r="U7" s="43"/>
      <c r="V7" s="43"/>
      <c r="W7" s="43"/>
      <c r="X7" s="43"/>
      <c r="Y7" s="43"/>
      <c r="Z7" s="43"/>
      <c r="AA7" s="43"/>
      <c r="AB7" s="43"/>
      <c r="AC7" s="43"/>
      <c r="AD7" s="43"/>
      <c r="AE7" s="43"/>
    </row>
    <row r="8" spans="1:37" ht="33" x14ac:dyDescent="0.2">
      <c r="A8" s="43"/>
      <c r="B8" s="103" t="s">
        <v>658</v>
      </c>
      <c r="C8" s="98" t="s">
        <v>224</v>
      </c>
      <c r="D8" s="99">
        <v>0.8</v>
      </c>
      <c r="E8" s="43"/>
      <c r="F8" s="43"/>
      <c r="G8" s="43"/>
      <c r="H8" s="43"/>
      <c r="I8" s="43"/>
      <c r="J8" s="43"/>
      <c r="K8" s="43"/>
      <c r="L8" s="43"/>
      <c r="M8" s="43"/>
      <c r="N8" s="43"/>
      <c r="O8" s="43"/>
      <c r="P8" s="43"/>
      <c r="Q8" s="43"/>
      <c r="R8" s="43"/>
      <c r="S8" s="43"/>
      <c r="T8" s="43"/>
      <c r="U8" s="43"/>
      <c r="V8" s="43"/>
      <c r="W8" s="43"/>
      <c r="X8" s="43"/>
      <c r="Y8" s="43"/>
      <c r="Z8" s="43"/>
      <c r="AA8" s="43"/>
      <c r="AB8" s="43"/>
      <c r="AC8" s="43"/>
      <c r="AD8" s="43"/>
      <c r="AE8" s="43"/>
    </row>
    <row r="9" spans="1:37" ht="33" x14ac:dyDescent="0.2">
      <c r="A9" s="43"/>
      <c r="B9" s="104" t="s">
        <v>659</v>
      </c>
      <c r="C9" s="98" t="s">
        <v>181</v>
      </c>
      <c r="D9" s="99">
        <v>1</v>
      </c>
      <c r="E9" s="43"/>
      <c r="F9" s="43"/>
      <c r="G9" s="43"/>
      <c r="H9" s="43"/>
      <c r="I9" s="43"/>
      <c r="J9" s="43"/>
      <c r="K9" s="43"/>
      <c r="L9" s="43"/>
      <c r="M9" s="43"/>
      <c r="N9" s="43"/>
      <c r="O9" s="43"/>
      <c r="P9" s="43"/>
      <c r="Q9" s="43"/>
      <c r="R9" s="43"/>
      <c r="S9" s="43"/>
      <c r="T9" s="43"/>
      <c r="U9" s="43"/>
      <c r="V9" s="43"/>
      <c r="W9" s="43"/>
      <c r="X9" s="43"/>
      <c r="Y9" s="43"/>
      <c r="Z9" s="43"/>
      <c r="AA9" s="43"/>
      <c r="AB9" s="43"/>
      <c r="AC9" s="43"/>
      <c r="AD9" s="43"/>
      <c r="AE9" s="43"/>
    </row>
    <row r="10" spans="1:37" x14ac:dyDescent="0.2">
      <c r="A10" s="43"/>
      <c r="B10" s="48"/>
      <c r="C10" s="48"/>
      <c r="D10" s="48"/>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row>
    <row r="11" spans="1:37" ht="15" x14ac:dyDescent="0.2">
      <c r="A11" s="43"/>
      <c r="B11" s="59"/>
      <c r="C11" s="48"/>
      <c r="D11" s="48"/>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row>
    <row r="12" spans="1:37" x14ac:dyDescent="0.2">
      <c r="A12" s="43"/>
      <c r="B12" s="48"/>
      <c r="C12" s="48"/>
      <c r="D12" s="48"/>
      <c r="E12" s="43"/>
      <c r="F12" s="43"/>
      <c r="G12" s="43"/>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row>
    <row r="13" spans="1:37" x14ac:dyDescent="0.2">
      <c r="A13" s="43"/>
      <c r="B13" s="48"/>
      <c r="C13" s="48"/>
      <c r="D13" s="48"/>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row>
    <row r="14" spans="1:37" x14ac:dyDescent="0.2">
      <c r="A14" s="43"/>
      <c r="B14" s="48"/>
      <c r="C14" s="48"/>
      <c r="D14" s="48"/>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row>
    <row r="15" spans="1:37" x14ac:dyDescent="0.2">
      <c r="A15" s="43"/>
      <c r="B15" s="48"/>
      <c r="C15" s="48"/>
      <c r="D15" s="48"/>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row>
    <row r="16" spans="1:37" x14ac:dyDescent="0.2">
      <c r="A16" s="43"/>
      <c r="B16" s="48"/>
      <c r="C16" s="48"/>
      <c r="D16" s="48"/>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row>
    <row r="17" spans="1:37" x14ac:dyDescent="0.2">
      <c r="A17" s="43"/>
      <c r="B17" s="48"/>
      <c r="C17" s="48"/>
      <c r="D17" s="48"/>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row>
    <row r="18" spans="1:37" x14ac:dyDescent="0.2">
      <c r="A18" s="43"/>
      <c r="B18" s="48"/>
      <c r="C18" s="48"/>
      <c r="D18" s="48"/>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row>
    <row r="19" spans="1:37" x14ac:dyDescent="0.2">
      <c r="A19" s="43"/>
      <c r="B19" s="48"/>
      <c r="C19" s="48"/>
      <c r="D19" s="48"/>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row>
    <row r="20" spans="1:37" x14ac:dyDescent="0.2">
      <c r="A20" s="43"/>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row>
    <row r="21" spans="1:37" x14ac:dyDescent="0.2">
      <c r="A21" s="43"/>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row>
    <row r="22" spans="1:37" x14ac:dyDescent="0.2">
      <c r="A22" s="43"/>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3"/>
      <c r="AB22" s="43"/>
      <c r="AC22" s="43"/>
      <c r="AD22" s="43"/>
      <c r="AE22" s="43"/>
      <c r="AF22" s="43"/>
      <c r="AG22" s="43"/>
      <c r="AH22" s="43"/>
      <c r="AI22" s="43"/>
      <c r="AJ22" s="43"/>
      <c r="AK22" s="43"/>
    </row>
    <row r="23" spans="1:37" x14ac:dyDescent="0.2">
      <c r="A23" s="43"/>
      <c r="B23" s="43"/>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row>
    <row r="24" spans="1:37" x14ac:dyDescent="0.2">
      <c r="A24" s="43"/>
      <c r="B24" s="4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row>
    <row r="25" spans="1:37" x14ac:dyDescent="0.2">
      <c r="A25" s="43"/>
      <c r="B25" s="43"/>
      <c r="C25" s="43"/>
      <c r="D25" s="43"/>
      <c r="E25" s="43"/>
      <c r="F25" s="43"/>
      <c r="G25" s="43"/>
      <c r="H25" s="43"/>
      <c r="I25" s="43"/>
      <c r="J25" s="43"/>
      <c r="K25" s="43"/>
      <c r="L25" s="43"/>
      <c r="M25" s="43"/>
      <c r="N25" s="43"/>
      <c r="O25" s="43"/>
      <c r="P25" s="43"/>
      <c r="Q25" s="43"/>
      <c r="R25" s="43"/>
      <c r="S25" s="43"/>
      <c r="T25" s="43"/>
      <c r="U25" s="43"/>
      <c r="V25" s="43"/>
      <c r="W25" s="43"/>
      <c r="X25" s="43"/>
      <c r="Y25" s="43"/>
      <c r="Z25" s="43"/>
      <c r="AA25" s="43"/>
      <c r="AB25" s="43"/>
      <c r="AC25" s="43"/>
      <c r="AD25" s="43"/>
      <c r="AE25" s="43"/>
      <c r="AF25" s="43"/>
      <c r="AG25" s="43"/>
      <c r="AH25" s="43"/>
      <c r="AI25" s="43"/>
      <c r="AJ25" s="43"/>
      <c r="AK25" s="43"/>
    </row>
    <row r="26" spans="1:37" x14ac:dyDescent="0.2">
      <c r="A26" s="43"/>
      <c r="B26" s="43"/>
      <c r="C26" s="43"/>
      <c r="D26" s="43"/>
      <c r="E26" s="43"/>
      <c r="F26" s="43"/>
      <c r="G26" s="43"/>
      <c r="H26" s="43"/>
      <c r="I26" s="43"/>
      <c r="J26" s="43"/>
      <c r="K26" s="43"/>
      <c r="L26" s="43"/>
      <c r="M26" s="43"/>
      <c r="N26" s="43"/>
      <c r="O26" s="43"/>
      <c r="P26" s="43"/>
      <c r="Q26" s="43"/>
      <c r="R26" s="43"/>
      <c r="S26" s="43"/>
      <c r="T26" s="43"/>
      <c r="U26" s="43"/>
      <c r="V26" s="43"/>
      <c r="W26" s="43"/>
      <c r="X26" s="43"/>
      <c r="Y26" s="43"/>
      <c r="Z26" s="43"/>
      <c r="AA26" s="43"/>
      <c r="AB26" s="43"/>
      <c r="AC26" s="43"/>
      <c r="AD26" s="43"/>
      <c r="AE26" s="43"/>
      <c r="AF26" s="43"/>
      <c r="AG26" s="43"/>
      <c r="AH26" s="43"/>
      <c r="AI26" s="43"/>
      <c r="AJ26" s="43"/>
      <c r="AK26" s="43"/>
    </row>
    <row r="27" spans="1:37" x14ac:dyDescent="0.2">
      <c r="A27" s="43"/>
      <c r="B27" s="43"/>
      <c r="C27" s="43"/>
      <c r="D27" s="43"/>
      <c r="E27" s="43"/>
      <c r="F27" s="43"/>
      <c r="G27" s="43"/>
      <c r="H27" s="43"/>
      <c r="I27" s="43"/>
      <c r="J27" s="43"/>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row>
    <row r="28" spans="1:37" x14ac:dyDescent="0.2">
      <c r="A28" s="43"/>
      <c r="B28" s="4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c r="AC28" s="43"/>
      <c r="AD28" s="43"/>
      <c r="AE28" s="43"/>
      <c r="AF28" s="43"/>
      <c r="AG28" s="43"/>
      <c r="AH28" s="43"/>
      <c r="AI28" s="43"/>
      <c r="AJ28" s="43"/>
      <c r="AK28" s="43"/>
    </row>
    <row r="29" spans="1:37" x14ac:dyDescent="0.2">
      <c r="A29" s="43"/>
      <c r="B29" s="43"/>
      <c r="C29" s="43"/>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c r="AJ29" s="43"/>
      <c r="AK29" s="43"/>
    </row>
    <row r="30" spans="1:37" x14ac:dyDescent="0.2">
      <c r="A30" s="43"/>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row>
    <row r="31" spans="1:37" x14ac:dyDescent="0.2">
      <c r="A31" s="43"/>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row>
    <row r="32" spans="1:37" x14ac:dyDescent="0.2">
      <c r="A32" s="43"/>
      <c r="B32" s="43"/>
      <c r="C32" s="43"/>
      <c r="D32" s="43"/>
      <c r="E32" s="43"/>
      <c r="F32" s="43"/>
      <c r="G32" s="43"/>
      <c r="H32" s="43"/>
      <c r="I32" s="43"/>
      <c r="J32" s="43"/>
      <c r="K32" s="43"/>
      <c r="L32" s="43"/>
      <c r="M32" s="43"/>
      <c r="N32" s="43"/>
      <c r="O32" s="43"/>
      <c r="P32" s="43"/>
      <c r="Q32" s="43"/>
      <c r="R32" s="43"/>
      <c r="S32" s="43"/>
      <c r="T32" s="43"/>
      <c r="U32" s="43"/>
      <c r="V32" s="43"/>
      <c r="W32" s="43"/>
      <c r="X32" s="43"/>
      <c r="Y32" s="43"/>
      <c r="Z32" s="43"/>
      <c r="AA32" s="43"/>
      <c r="AB32" s="43"/>
      <c r="AC32" s="43"/>
      <c r="AD32" s="43"/>
      <c r="AE32" s="43"/>
      <c r="AF32" s="43"/>
      <c r="AG32" s="43"/>
      <c r="AH32" s="43"/>
      <c r="AI32" s="43"/>
      <c r="AJ32" s="43"/>
      <c r="AK32" s="43"/>
    </row>
    <row r="33" spans="1:37" x14ac:dyDescent="0.2">
      <c r="A33" s="43"/>
      <c r="B33" s="43"/>
      <c r="C33" s="43"/>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c r="AJ33" s="43"/>
      <c r="AK33" s="43"/>
    </row>
    <row r="34" spans="1:37" x14ac:dyDescent="0.2">
      <c r="A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row>
    <row r="35" spans="1:37" x14ac:dyDescent="0.2">
      <c r="A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row>
    <row r="36" spans="1:37" x14ac:dyDescent="0.2">
      <c r="A36" s="43"/>
    </row>
    <row r="37" spans="1:37" x14ac:dyDescent="0.2">
      <c r="A37" s="43"/>
    </row>
    <row r="38" spans="1:37" x14ac:dyDescent="0.2">
      <c r="A38" s="43"/>
    </row>
    <row r="39" spans="1:37" x14ac:dyDescent="0.2">
      <c r="A39" s="43"/>
    </row>
    <row r="40" spans="1:37" x14ac:dyDescent="0.2">
      <c r="A40" s="43"/>
    </row>
    <row r="41" spans="1:37" x14ac:dyDescent="0.2">
      <c r="A41" s="43"/>
    </row>
    <row r="42" spans="1:37" x14ac:dyDescent="0.2">
      <c r="A42" s="43"/>
    </row>
    <row r="43" spans="1:37" x14ac:dyDescent="0.2">
      <c r="A43" s="43"/>
    </row>
    <row r="44" spans="1:37" x14ac:dyDescent="0.2">
      <c r="A44" s="43"/>
    </row>
    <row r="45" spans="1:37" x14ac:dyDescent="0.2">
      <c r="A45" s="43"/>
    </row>
    <row r="46" spans="1:37" x14ac:dyDescent="0.2">
      <c r="A46" s="43"/>
    </row>
    <row r="47" spans="1:37" x14ac:dyDescent="0.2">
      <c r="A47" s="43"/>
    </row>
    <row r="48" spans="1:37" x14ac:dyDescent="0.2">
      <c r="A48" s="43"/>
    </row>
    <row r="49" spans="1:1" x14ac:dyDescent="0.2">
      <c r="A49" s="43"/>
    </row>
    <row r="50" spans="1:1" x14ac:dyDescent="0.2">
      <c r="A50" s="43"/>
    </row>
    <row r="51" spans="1:1" x14ac:dyDescent="0.2">
      <c r="A51" s="43"/>
    </row>
    <row r="52" spans="1:1" x14ac:dyDescent="0.2">
      <c r="A52" s="43"/>
    </row>
    <row r="53" spans="1:1" x14ac:dyDescent="0.2">
      <c r="A53" s="43"/>
    </row>
    <row r="54" spans="1:1" x14ac:dyDescent="0.2">
      <c r="A54" s="43"/>
    </row>
    <row r="55" spans="1:1" x14ac:dyDescent="0.2">
      <c r="A55" s="43"/>
    </row>
    <row r="56" spans="1:1" x14ac:dyDescent="0.2">
      <c r="A56" s="43"/>
    </row>
  </sheetData>
  <mergeCells count="1">
    <mergeCell ref="B2:D2"/>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U231"/>
  <sheetViews>
    <sheetView showGridLines="0" topLeftCell="D17" zoomScale="50" zoomScaleNormal="50" workbookViewId="0">
      <selection activeCell="G26" sqref="G8:G26"/>
    </sheetView>
  </sheetViews>
  <sheetFormatPr baseColWidth="10" defaultColWidth="11.42578125" defaultRowHeight="14.25" x14ac:dyDescent="0.2"/>
  <cols>
    <col min="1" max="1" width="11.42578125" style="44"/>
    <col min="2" max="2" width="37.140625" style="44" customWidth="1"/>
    <col min="3" max="3" width="85.85546875" style="44" customWidth="1"/>
    <col min="4" max="4" width="39" style="44" customWidth="1"/>
    <col min="5" max="5" width="14.140625" style="66" customWidth="1"/>
    <col min="6" max="6" width="161.85546875" style="66" customWidth="1"/>
    <col min="7" max="7" width="24.28515625" style="66" customWidth="1"/>
    <col min="8" max="8" width="23.7109375" style="66" customWidth="1"/>
    <col min="9" max="9" width="11.42578125" style="66"/>
    <col min="10" max="16384" width="11.42578125" style="44"/>
  </cols>
  <sheetData>
    <row r="2" spans="1:21" ht="33.75" x14ac:dyDescent="0.2">
      <c r="A2" s="43"/>
      <c r="B2" s="494" t="s">
        <v>660</v>
      </c>
      <c r="C2" s="494"/>
      <c r="D2" s="494"/>
      <c r="E2" s="65"/>
      <c r="F2" s="65"/>
      <c r="G2" s="65"/>
      <c r="H2" s="65"/>
      <c r="I2" s="65"/>
      <c r="J2" s="43"/>
      <c r="K2" s="43"/>
      <c r="L2" s="43"/>
      <c r="M2" s="43"/>
      <c r="N2" s="43"/>
      <c r="O2" s="43"/>
      <c r="P2" s="43"/>
      <c r="Q2" s="43"/>
      <c r="R2" s="43"/>
      <c r="S2" s="43"/>
      <c r="T2" s="43"/>
      <c r="U2" s="43"/>
    </row>
    <row r="3" spans="1:21" x14ac:dyDescent="0.2">
      <c r="A3" s="43"/>
      <c r="B3" s="43"/>
      <c r="C3" s="43"/>
      <c r="D3" s="43"/>
      <c r="E3" s="65"/>
      <c r="F3" s="65"/>
      <c r="G3" s="65"/>
      <c r="H3" s="65"/>
      <c r="I3" s="65"/>
      <c r="J3" s="43"/>
      <c r="K3" s="43"/>
      <c r="L3" s="43"/>
      <c r="M3" s="43"/>
      <c r="N3" s="43"/>
      <c r="O3" s="43"/>
      <c r="P3" s="43"/>
      <c r="Q3" s="43"/>
      <c r="R3" s="43"/>
      <c r="S3" s="43"/>
      <c r="T3" s="43"/>
      <c r="U3" s="43"/>
    </row>
    <row r="4" spans="1:21" ht="30" x14ac:dyDescent="0.2">
      <c r="A4" s="43"/>
      <c r="B4" s="42"/>
      <c r="C4" s="107" t="s">
        <v>661</v>
      </c>
      <c r="D4" s="64"/>
      <c r="E4" s="65"/>
      <c r="F4" s="65"/>
      <c r="G4" s="65"/>
      <c r="H4" s="65"/>
      <c r="I4" s="65"/>
      <c r="J4" s="43"/>
      <c r="K4" s="43"/>
      <c r="L4" s="43"/>
      <c r="M4" s="43"/>
      <c r="N4" s="43"/>
      <c r="O4" s="43"/>
      <c r="P4" s="43"/>
      <c r="Q4" s="43"/>
      <c r="R4" s="43"/>
      <c r="S4" s="43"/>
      <c r="T4" s="43"/>
      <c r="U4" s="43"/>
    </row>
    <row r="5" spans="1:21" ht="96" customHeight="1" thickBot="1" x14ac:dyDescent="0.25">
      <c r="A5" s="45" t="s">
        <v>643</v>
      </c>
      <c r="B5" s="102" t="s">
        <v>662</v>
      </c>
      <c r="C5" s="106" t="s">
        <v>214</v>
      </c>
      <c r="D5" s="63"/>
      <c r="E5" s="65"/>
      <c r="F5" s="65"/>
      <c r="G5" s="65"/>
      <c r="H5" s="65"/>
      <c r="I5" s="65"/>
      <c r="J5" s="43"/>
      <c r="K5" s="43"/>
      <c r="L5" s="43"/>
      <c r="M5" s="43"/>
      <c r="N5" s="43"/>
      <c r="O5" s="43"/>
      <c r="P5" s="43"/>
      <c r="Q5" s="43"/>
      <c r="R5" s="43"/>
      <c r="S5" s="43"/>
      <c r="T5" s="43"/>
      <c r="U5" s="43"/>
    </row>
    <row r="6" spans="1:21" ht="98.25" customHeight="1" x14ac:dyDescent="0.2">
      <c r="A6" s="45" t="s">
        <v>663</v>
      </c>
      <c r="B6" s="103" t="s">
        <v>664</v>
      </c>
      <c r="C6" s="106" t="s">
        <v>110</v>
      </c>
      <c r="D6" s="63"/>
      <c r="E6" s="501" t="s">
        <v>665</v>
      </c>
      <c r="F6" s="498" t="s">
        <v>666</v>
      </c>
      <c r="G6" s="498" t="s">
        <v>667</v>
      </c>
      <c r="H6" s="499"/>
      <c r="I6" s="65"/>
      <c r="J6" s="43"/>
      <c r="K6" s="43"/>
      <c r="L6" s="43"/>
      <c r="M6" s="43"/>
      <c r="N6" s="43"/>
      <c r="O6" s="43"/>
      <c r="P6" s="43"/>
      <c r="Q6" s="43"/>
      <c r="R6" s="43"/>
      <c r="S6" s="43"/>
      <c r="T6" s="43"/>
      <c r="U6" s="43"/>
    </row>
    <row r="7" spans="1:21" ht="107.25" customHeight="1" x14ac:dyDescent="0.2">
      <c r="A7" s="45" t="s">
        <v>668</v>
      </c>
      <c r="B7" s="104" t="s">
        <v>669</v>
      </c>
      <c r="C7" s="106" t="s">
        <v>131</v>
      </c>
      <c r="D7" s="63"/>
      <c r="E7" s="502"/>
      <c r="F7" s="500"/>
      <c r="G7" s="108" t="s">
        <v>670</v>
      </c>
      <c r="H7" s="111" t="s">
        <v>671</v>
      </c>
      <c r="I7" s="65"/>
      <c r="J7" s="43"/>
      <c r="K7" s="43"/>
      <c r="L7" s="43"/>
      <c r="M7" s="43"/>
      <c r="N7" s="43"/>
      <c r="O7" s="43"/>
      <c r="P7" s="43"/>
      <c r="Q7" s="43"/>
      <c r="R7" s="43"/>
      <c r="S7" s="43"/>
      <c r="T7" s="43"/>
      <c r="U7" s="43"/>
    </row>
    <row r="8" spans="1:21" ht="33" x14ac:dyDescent="0.2">
      <c r="A8" s="45"/>
      <c r="B8" s="45"/>
      <c r="C8" s="46"/>
      <c r="D8" s="46"/>
      <c r="E8" s="112">
        <v>1</v>
      </c>
      <c r="F8" s="109" t="s">
        <v>672</v>
      </c>
      <c r="G8" s="109" t="s">
        <v>673</v>
      </c>
      <c r="H8" s="113"/>
      <c r="I8" s="65"/>
      <c r="J8" s="43"/>
      <c r="K8" s="43"/>
      <c r="L8" s="43"/>
      <c r="M8" s="43"/>
      <c r="N8" s="43"/>
      <c r="O8" s="43"/>
      <c r="P8" s="43"/>
      <c r="Q8" s="43"/>
      <c r="R8" s="43"/>
      <c r="S8" s="43"/>
      <c r="T8" s="43"/>
      <c r="U8" s="43"/>
    </row>
    <row r="9" spans="1:21" ht="33" x14ac:dyDescent="0.2">
      <c r="A9" s="45"/>
      <c r="B9" s="47"/>
      <c r="C9" s="47"/>
      <c r="D9" s="47"/>
      <c r="E9" s="112">
        <v>2</v>
      </c>
      <c r="F9" s="109" t="s">
        <v>674</v>
      </c>
      <c r="G9" s="109"/>
      <c r="H9" s="113" t="s">
        <v>673</v>
      </c>
      <c r="I9" s="65"/>
      <c r="J9" s="43"/>
      <c r="K9" s="43"/>
      <c r="L9" s="43"/>
      <c r="M9" s="43"/>
      <c r="N9" s="43"/>
      <c r="O9" s="43"/>
      <c r="P9" s="43"/>
      <c r="Q9" s="43"/>
      <c r="R9" s="43"/>
      <c r="S9" s="43"/>
      <c r="T9" s="43"/>
      <c r="U9" s="43"/>
    </row>
    <row r="10" spans="1:21" ht="33.75" x14ac:dyDescent="0.2">
      <c r="A10" s="45"/>
      <c r="B10" s="45" t="s">
        <v>675</v>
      </c>
      <c r="C10" s="45" t="s">
        <v>676</v>
      </c>
      <c r="D10" s="45" t="s">
        <v>677</v>
      </c>
      <c r="E10" s="112">
        <v>3</v>
      </c>
      <c r="F10" s="109" t="s">
        <v>678</v>
      </c>
      <c r="G10" s="110" t="s">
        <v>673</v>
      </c>
      <c r="H10" s="113"/>
      <c r="I10" s="65"/>
      <c r="J10" s="43"/>
      <c r="K10" s="43"/>
      <c r="L10" s="43"/>
      <c r="M10" s="43"/>
      <c r="N10" s="43"/>
      <c r="O10" s="43"/>
      <c r="P10" s="43"/>
      <c r="Q10" s="43"/>
      <c r="R10" s="43"/>
      <c r="S10" s="43"/>
      <c r="T10" s="43"/>
      <c r="U10" s="43"/>
    </row>
    <row r="11" spans="1:21" ht="66" x14ac:dyDescent="0.2">
      <c r="A11" s="45"/>
      <c r="B11" s="45" t="s">
        <v>679</v>
      </c>
      <c r="C11" s="45" t="s">
        <v>680</v>
      </c>
      <c r="D11" s="45" t="s">
        <v>681</v>
      </c>
      <c r="E11" s="112">
        <v>4</v>
      </c>
      <c r="F11" s="109" t="s">
        <v>682</v>
      </c>
      <c r="G11" s="109" t="s">
        <v>673</v>
      </c>
      <c r="H11" s="113"/>
      <c r="I11" s="65"/>
      <c r="J11" s="43"/>
      <c r="K11" s="43"/>
      <c r="L11" s="43"/>
      <c r="M11" s="43"/>
      <c r="N11" s="43"/>
      <c r="O11" s="43"/>
      <c r="P11" s="43"/>
      <c r="Q11" s="43"/>
      <c r="R11" s="43"/>
      <c r="S11" s="43"/>
      <c r="T11" s="43"/>
      <c r="U11" s="43"/>
    </row>
    <row r="12" spans="1:21" ht="66" x14ac:dyDescent="0.2">
      <c r="A12" s="45"/>
      <c r="B12" s="45"/>
      <c r="C12" s="45" t="s">
        <v>683</v>
      </c>
      <c r="D12" s="45" t="s">
        <v>684</v>
      </c>
      <c r="E12" s="112">
        <v>5</v>
      </c>
      <c r="F12" s="109" t="s">
        <v>685</v>
      </c>
      <c r="G12" s="109"/>
      <c r="H12" s="113" t="s">
        <v>673</v>
      </c>
      <c r="I12" s="65"/>
      <c r="J12" s="43"/>
      <c r="K12" s="43"/>
      <c r="L12" s="43"/>
      <c r="M12" s="43"/>
      <c r="N12" s="43"/>
      <c r="O12" s="43"/>
      <c r="P12" s="43"/>
      <c r="Q12" s="43"/>
      <c r="R12" s="43"/>
      <c r="S12" s="43"/>
      <c r="T12" s="43"/>
      <c r="U12" s="43"/>
    </row>
    <row r="13" spans="1:21" ht="33" x14ac:dyDescent="0.2">
      <c r="A13" s="45"/>
      <c r="B13" s="45"/>
      <c r="C13" s="45" t="s">
        <v>686</v>
      </c>
      <c r="D13" s="45" t="s">
        <v>687</v>
      </c>
      <c r="E13" s="112">
        <v>6</v>
      </c>
      <c r="F13" s="109" t="s">
        <v>688</v>
      </c>
      <c r="G13" s="109"/>
      <c r="H13" s="113" t="s">
        <v>673</v>
      </c>
      <c r="I13" s="65"/>
      <c r="J13" s="43"/>
      <c r="K13" s="43"/>
      <c r="L13" s="43"/>
      <c r="M13" s="43"/>
      <c r="N13" s="43"/>
      <c r="O13" s="43"/>
      <c r="P13" s="43"/>
      <c r="Q13" s="43"/>
      <c r="R13" s="43"/>
      <c r="S13" s="43"/>
      <c r="T13" s="43"/>
      <c r="U13" s="43"/>
    </row>
    <row r="14" spans="1:21" ht="66" x14ac:dyDescent="0.2">
      <c r="A14" s="45"/>
      <c r="B14" s="45"/>
      <c r="C14" s="45" t="s">
        <v>689</v>
      </c>
      <c r="D14" s="45" t="s">
        <v>690</v>
      </c>
      <c r="E14" s="112">
        <v>7</v>
      </c>
      <c r="F14" s="109" t="s">
        <v>691</v>
      </c>
      <c r="G14" s="109"/>
      <c r="H14" s="113" t="s">
        <v>673</v>
      </c>
      <c r="I14" s="65"/>
      <c r="J14" s="43"/>
      <c r="K14" s="43"/>
      <c r="L14" s="43"/>
      <c r="M14" s="43"/>
      <c r="N14" s="43"/>
      <c r="O14" s="43"/>
      <c r="P14" s="43"/>
      <c r="Q14" s="43"/>
      <c r="R14" s="43"/>
      <c r="S14" s="43"/>
      <c r="T14" s="43"/>
      <c r="U14" s="43"/>
    </row>
    <row r="15" spans="1:21" ht="66" x14ac:dyDescent="0.2">
      <c r="A15" s="45"/>
      <c r="B15" s="45"/>
      <c r="C15" s="45"/>
      <c r="D15" s="45"/>
      <c r="E15" s="112">
        <v>8</v>
      </c>
      <c r="F15" s="109" t="s">
        <v>692</v>
      </c>
      <c r="G15" s="109"/>
      <c r="H15" s="113" t="s">
        <v>673</v>
      </c>
      <c r="I15" s="65"/>
      <c r="J15" s="43"/>
      <c r="K15" s="43"/>
      <c r="L15" s="43"/>
      <c r="M15" s="43"/>
      <c r="N15" s="43"/>
      <c r="O15" s="43"/>
    </row>
    <row r="16" spans="1:21" ht="33" x14ac:dyDescent="0.2">
      <c r="A16" s="45"/>
      <c r="B16" s="45"/>
      <c r="C16" s="45"/>
      <c r="D16" s="45"/>
      <c r="E16" s="112">
        <v>9</v>
      </c>
      <c r="F16" s="109" t="s">
        <v>693</v>
      </c>
      <c r="G16" s="109" t="s">
        <v>673</v>
      </c>
      <c r="H16" s="113"/>
      <c r="I16" s="65"/>
      <c r="J16" s="43"/>
      <c r="K16" s="43"/>
      <c r="L16" s="43"/>
      <c r="M16" s="43"/>
      <c r="N16" s="43"/>
      <c r="O16" s="43"/>
    </row>
    <row r="17" spans="1:15" ht="66" x14ac:dyDescent="0.2">
      <c r="A17" s="45"/>
      <c r="B17" s="48"/>
      <c r="C17" s="48"/>
      <c r="D17" s="48"/>
      <c r="E17" s="112">
        <v>10</v>
      </c>
      <c r="F17" s="109" t="s">
        <v>694</v>
      </c>
      <c r="G17" s="109" t="s">
        <v>673</v>
      </c>
      <c r="H17" s="113"/>
      <c r="I17" s="65"/>
      <c r="J17" s="43"/>
      <c r="K17" s="43"/>
      <c r="L17" s="43"/>
      <c r="M17" s="43"/>
      <c r="N17" s="43"/>
      <c r="O17" s="43"/>
    </row>
    <row r="18" spans="1:15" ht="33" x14ac:dyDescent="0.2">
      <c r="A18" s="45"/>
      <c r="B18" s="48"/>
      <c r="C18" s="48"/>
      <c r="D18" s="48"/>
      <c r="E18" s="112">
        <v>11</v>
      </c>
      <c r="F18" s="109" t="s">
        <v>695</v>
      </c>
      <c r="G18" s="109" t="s">
        <v>673</v>
      </c>
      <c r="H18" s="113"/>
      <c r="I18" s="65"/>
      <c r="J18" s="43"/>
      <c r="K18" s="43"/>
      <c r="L18" s="43"/>
      <c r="M18" s="43"/>
      <c r="N18" s="43"/>
      <c r="O18" s="43"/>
    </row>
    <row r="19" spans="1:15" ht="33" x14ac:dyDescent="0.2">
      <c r="A19" s="45"/>
      <c r="B19" s="48"/>
      <c r="C19" s="48"/>
      <c r="D19" s="48"/>
      <c r="E19" s="112">
        <v>12</v>
      </c>
      <c r="F19" s="109" t="s">
        <v>696</v>
      </c>
      <c r="G19" s="109" t="s">
        <v>673</v>
      </c>
      <c r="H19" s="113"/>
      <c r="I19" s="65"/>
      <c r="J19" s="43"/>
      <c r="K19" s="43"/>
      <c r="L19" s="43"/>
      <c r="M19" s="43"/>
      <c r="N19" s="43"/>
      <c r="O19" s="43"/>
    </row>
    <row r="20" spans="1:15" ht="33" x14ac:dyDescent="0.2">
      <c r="A20" s="45"/>
      <c r="B20" s="48"/>
      <c r="C20" s="48"/>
      <c r="D20" s="48"/>
      <c r="E20" s="112">
        <v>13</v>
      </c>
      <c r="F20" s="109" t="s">
        <v>697</v>
      </c>
      <c r="G20" s="109" t="s">
        <v>673</v>
      </c>
      <c r="H20" s="113"/>
      <c r="I20" s="65"/>
      <c r="J20" s="43"/>
      <c r="K20" s="43"/>
      <c r="L20" s="43"/>
      <c r="M20" s="43"/>
      <c r="N20" s="43"/>
      <c r="O20" s="43"/>
    </row>
    <row r="21" spans="1:15" ht="33" x14ac:dyDescent="0.2">
      <c r="A21" s="45"/>
      <c r="B21" s="45"/>
      <c r="C21" s="46"/>
      <c r="D21" s="46"/>
      <c r="E21" s="112">
        <v>14</v>
      </c>
      <c r="F21" s="109" t="s">
        <v>698</v>
      </c>
      <c r="G21" s="109" t="s">
        <v>673</v>
      </c>
      <c r="H21" s="113"/>
      <c r="I21" s="65"/>
      <c r="J21" s="43"/>
      <c r="K21" s="43"/>
      <c r="L21" s="43"/>
      <c r="M21" s="43"/>
      <c r="N21" s="43"/>
      <c r="O21" s="43"/>
    </row>
    <row r="22" spans="1:15" ht="33" x14ac:dyDescent="0.2">
      <c r="A22" s="45"/>
      <c r="B22" s="45"/>
      <c r="C22" s="46"/>
      <c r="D22" s="46"/>
      <c r="E22" s="112">
        <v>15</v>
      </c>
      <c r="F22" s="109" t="s">
        <v>699</v>
      </c>
      <c r="G22" s="109"/>
      <c r="H22" s="113" t="s">
        <v>673</v>
      </c>
      <c r="I22" s="65"/>
      <c r="J22" s="43"/>
      <c r="K22" s="43"/>
      <c r="L22" s="43"/>
      <c r="M22" s="43"/>
      <c r="N22" s="43"/>
      <c r="O22" s="43"/>
    </row>
    <row r="23" spans="1:15" ht="33" x14ac:dyDescent="0.2">
      <c r="A23" s="45"/>
      <c r="B23" s="45"/>
      <c r="C23" s="46"/>
      <c r="D23" s="46"/>
      <c r="E23" s="112">
        <v>16</v>
      </c>
      <c r="F23" s="109" t="s">
        <v>700</v>
      </c>
      <c r="G23" s="109"/>
      <c r="H23" s="113" t="s">
        <v>673</v>
      </c>
      <c r="I23" s="65"/>
      <c r="J23" s="43"/>
      <c r="K23" s="43"/>
      <c r="L23" s="43"/>
      <c r="M23" s="43"/>
      <c r="N23" s="43"/>
      <c r="O23" s="43"/>
    </row>
    <row r="24" spans="1:15" ht="33" x14ac:dyDescent="0.2">
      <c r="A24" s="45"/>
      <c r="B24" s="45"/>
      <c r="C24" s="46"/>
      <c r="D24" s="46"/>
      <c r="E24" s="112">
        <v>17</v>
      </c>
      <c r="F24" s="109" t="s">
        <v>701</v>
      </c>
      <c r="G24" s="109"/>
      <c r="H24" s="113" t="s">
        <v>673</v>
      </c>
      <c r="I24" s="65"/>
      <c r="J24" s="43"/>
      <c r="K24" s="43"/>
      <c r="L24" s="43"/>
      <c r="M24" s="43"/>
      <c r="N24" s="43"/>
      <c r="O24" s="43"/>
    </row>
    <row r="25" spans="1:15" ht="33" x14ac:dyDescent="0.2">
      <c r="A25" s="45"/>
      <c r="B25" s="45"/>
      <c r="C25" s="46"/>
      <c r="D25" s="46"/>
      <c r="E25" s="112">
        <v>18</v>
      </c>
      <c r="F25" s="109" t="s">
        <v>702</v>
      </c>
      <c r="G25" s="109"/>
      <c r="H25" s="113" t="s">
        <v>673</v>
      </c>
      <c r="I25" s="65"/>
      <c r="J25" s="43"/>
      <c r="K25" s="43"/>
      <c r="L25" s="43"/>
      <c r="M25" s="43"/>
      <c r="N25" s="43"/>
      <c r="O25" s="43"/>
    </row>
    <row r="26" spans="1:15" ht="33" x14ac:dyDescent="0.2">
      <c r="A26" s="45"/>
      <c r="B26" s="45"/>
      <c r="C26" s="46"/>
      <c r="D26" s="46"/>
      <c r="E26" s="112">
        <v>19</v>
      </c>
      <c r="F26" s="109" t="s">
        <v>703</v>
      </c>
      <c r="G26" s="109"/>
      <c r="H26" s="113" t="s">
        <v>673</v>
      </c>
      <c r="I26" s="65"/>
      <c r="J26" s="43"/>
      <c r="K26" s="43"/>
      <c r="L26" s="43"/>
      <c r="M26" s="43"/>
      <c r="N26" s="43"/>
      <c r="O26" s="43"/>
    </row>
    <row r="27" spans="1:15" ht="33" x14ac:dyDescent="0.2">
      <c r="A27" s="45"/>
      <c r="B27" s="45"/>
      <c r="C27" s="46"/>
      <c r="D27" s="46"/>
      <c r="E27" s="503" t="s">
        <v>704</v>
      </c>
      <c r="F27" s="504"/>
      <c r="G27" s="504"/>
      <c r="H27" s="505"/>
      <c r="I27" s="65"/>
      <c r="J27" s="43"/>
      <c r="K27" s="43"/>
      <c r="L27" s="43"/>
      <c r="M27" s="43"/>
      <c r="N27" s="43"/>
      <c r="O27" s="43"/>
    </row>
    <row r="28" spans="1:15" ht="33" customHeight="1" x14ac:dyDescent="0.2">
      <c r="A28" s="45"/>
      <c r="B28" s="45"/>
      <c r="C28" s="46"/>
      <c r="D28" s="46"/>
      <c r="E28" s="503" t="s">
        <v>705</v>
      </c>
      <c r="F28" s="504"/>
      <c r="G28" s="504"/>
      <c r="H28" s="505"/>
      <c r="I28" s="65"/>
      <c r="J28" s="43"/>
      <c r="K28" s="43"/>
      <c r="L28" s="43"/>
      <c r="M28" s="43"/>
      <c r="N28" s="43"/>
      <c r="O28" s="43"/>
    </row>
    <row r="29" spans="1:15" ht="33" customHeight="1" x14ac:dyDescent="0.2">
      <c r="A29" s="45"/>
      <c r="B29" s="45"/>
      <c r="C29" s="46"/>
      <c r="D29" s="46"/>
      <c r="E29" s="503" t="s">
        <v>706</v>
      </c>
      <c r="F29" s="504"/>
      <c r="G29" s="504"/>
      <c r="H29" s="505"/>
      <c r="I29" s="65"/>
      <c r="J29" s="43"/>
      <c r="K29" s="43"/>
      <c r="L29" s="43"/>
      <c r="M29" s="43"/>
      <c r="N29" s="43"/>
      <c r="O29" s="43"/>
    </row>
    <row r="30" spans="1:15" ht="73.5" customHeight="1" x14ac:dyDescent="0.2">
      <c r="A30" s="45"/>
      <c r="B30" s="45"/>
      <c r="C30" s="46"/>
      <c r="D30" s="46"/>
      <c r="E30" s="503" t="s">
        <v>707</v>
      </c>
      <c r="F30" s="504"/>
      <c r="G30" s="504"/>
      <c r="H30" s="505"/>
      <c r="I30" s="65"/>
      <c r="J30" s="43"/>
      <c r="K30" s="43"/>
      <c r="L30" s="43"/>
      <c r="M30" s="43"/>
      <c r="N30" s="43"/>
      <c r="O30" s="43"/>
    </row>
    <row r="31" spans="1:15" ht="37.5" customHeight="1" x14ac:dyDescent="0.2">
      <c r="A31" s="45"/>
      <c r="B31" s="45"/>
      <c r="C31" s="46"/>
      <c r="D31" s="46"/>
      <c r="E31" s="503" t="s">
        <v>708</v>
      </c>
      <c r="F31" s="504"/>
      <c r="G31" s="504"/>
      <c r="H31" s="505"/>
      <c r="I31" s="65"/>
      <c r="J31" s="43"/>
      <c r="K31" s="43"/>
      <c r="L31" s="43"/>
      <c r="M31" s="43"/>
      <c r="N31" s="43"/>
      <c r="O31" s="43"/>
    </row>
    <row r="32" spans="1:15" ht="33.75" customHeight="1" x14ac:dyDescent="0.2">
      <c r="A32" s="45"/>
      <c r="B32" s="45"/>
      <c r="C32" s="46"/>
      <c r="D32" s="46"/>
      <c r="E32" s="503" t="s">
        <v>709</v>
      </c>
      <c r="F32" s="504"/>
      <c r="G32" s="504"/>
      <c r="H32" s="505"/>
      <c r="I32" s="65"/>
      <c r="J32" s="43"/>
      <c r="K32" s="43"/>
      <c r="L32" s="43"/>
      <c r="M32" s="43"/>
      <c r="N32" s="43"/>
      <c r="O32" s="43"/>
    </row>
    <row r="33" spans="1:15" ht="33.75" customHeight="1" thickBot="1" x14ac:dyDescent="0.25">
      <c r="A33" s="45"/>
      <c r="B33" s="45"/>
      <c r="C33" s="46"/>
      <c r="D33" s="46"/>
      <c r="E33" s="495" t="s">
        <v>710</v>
      </c>
      <c r="F33" s="496"/>
      <c r="G33" s="496"/>
      <c r="H33" s="497"/>
      <c r="I33" s="65"/>
      <c r="J33" s="43"/>
      <c r="K33" s="43"/>
      <c r="L33" s="43"/>
      <c r="M33" s="43"/>
      <c r="N33" s="43"/>
      <c r="O33" s="43"/>
    </row>
    <row r="34" spans="1:15" ht="20.25" x14ac:dyDescent="0.2">
      <c r="A34" s="45"/>
      <c r="B34" s="45"/>
      <c r="C34" s="46"/>
      <c r="D34" s="46"/>
      <c r="I34" s="65"/>
      <c r="J34" s="43"/>
      <c r="K34" s="43"/>
      <c r="L34" s="43"/>
      <c r="M34" s="43"/>
      <c r="N34" s="43"/>
      <c r="O34" s="43"/>
    </row>
    <row r="35" spans="1:15" ht="20.25" x14ac:dyDescent="0.2">
      <c r="A35" s="45"/>
      <c r="B35" s="45"/>
      <c r="C35" s="46"/>
      <c r="D35" s="46"/>
      <c r="E35" s="65"/>
      <c r="F35" s="65"/>
      <c r="G35" s="65"/>
      <c r="H35" s="65"/>
      <c r="I35" s="65"/>
      <c r="J35" s="43"/>
      <c r="K35" s="43"/>
      <c r="L35" s="43"/>
      <c r="M35" s="43"/>
      <c r="N35" s="43"/>
      <c r="O35" s="43"/>
    </row>
    <row r="36" spans="1:15" ht="20.25" x14ac:dyDescent="0.2">
      <c r="A36" s="45"/>
      <c r="B36" s="45"/>
      <c r="C36" s="46"/>
      <c r="D36" s="46"/>
      <c r="E36" s="65"/>
      <c r="F36" s="65"/>
      <c r="G36" s="65"/>
      <c r="H36" s="65"/>
      <c r="I36" s="65"/>
      <c r="J36" s="43"/>
      <c r="K36" s="43"/>
      <c r="L36" s="43"/>
      <c r="M36" s="43"/>
      <c r="N36" s="43"/>
      <c r="O36" s="43"/>
    </row>
    <row r="37" spans="1:15" ht="20.25" x14ac:dyDescent="0.2">
      <c r="A37" s="45"/>
      <c r="B37" s="45"/>
      <c r="C37" s="46"/>
      <c r="D37" s="46"/>
      <c r="E37" s="65"/>
      <c r="F37" s="65"/>
      <c r="G37" s="65"/>
      <c r="H37" s="65"/>
      <c r="I37" s="65"/>
      <c r="J37" s="43"/>
      <c r="K37" s="43"/>
      <c r="L37" s="43"/>
      <c r="M37" s="43"/>
      <c r="N37" s="43"/>
      <c r="O37" s="43"/>
    </row>
    <row r="38" spans="1:15" ht="20.25" x14ac:dyDescent="0.2">
      <c r="A38" s="45"/>
      <c r="B38" s="45"/>
      <c r="C38" s="46"/>
      <c r="D38" s="46"/>
      <c r="E38" s="65"/>
      <c r="F38" s="65"/>
      <c r="G38" s="65"/>
      <c r="H38" s="65"/>
      <c r="I38" s="65"/>
      <c r="J38" s="43"/>
      <c r="K38" s="43"/>
      <c r="L38" s="43"/>
      <c r="M38" s="43"/>
      <c r="N38" s="43"/>
      <c r="O38" s="43"/>
    </row>
    <row r="39" spans="1:15" ht="20.25" x14ac:dyDescent="0.2">
      <c r="A39" s="45"/>
      <c r="B39" s="45"/>
      <c r="C39" s="46"/>
      <c r="D39" s="46"/>
      <c r="E39" s="65"/>
      <c r="F39" s="65"/>
      <c r="G39" s="65"/>
      <c r="H39" s="65"/>
      <c r="I39" s="65"/>
      <c r="J39" s="43"/>
      <c r="K39" s="43"/>
      <c r="L39" s="43"/>
      <c r="M39" s="43"/>
      <c r="N39" s="43"/>
      <c r="O39" s="43"/>
    </row>
    <row r="40" spans="1:15" ht="20.25" x14ac:dyDescent="0.2">
      <c r="A40" s="45"/>
      <c r="B40" s="45"/>
      <c r="C40" s="46"/>
      <c r="D40" s="46"/>
      <c r="E40" s="65"/>
      <c r="F40" s="65"/>
      <c r="G40" s="65"/>
      <c r="H40" s="65"/>
      <c r="I40" s="65"/>
      <c r="J40" s="43"/>
      <c r="K40" s="43"/>
      <c r="L40" s="43"/>
      <c r="M40" s="43"/>
      <c r="N40" s="43"/>
      <c r="O40" s="43"/>
    </row>
    <row r="41" spans="1:15" ht="20.25" x14ac:dyDescent="0.2">
      <c r="A41" s="45"/>
      <c r="B41" s="45"/>
      <c r="C41" s="46"/>
      <c r="D41" s="46"/>
      <c r="E41" s="65"/>
      <c r="F41" s="65"/>
      <c r="G41" s="65"/>
      <c r="H41" s="65"/>
      <c r="I41" s="65"/>
      <c r="J41" s="43"/>
      <c r="K41" s="43"/>
      <c r="L41" s="43"/>
      <c r="M41" s="43"/>
      <c r="N41" s="43"/>
      <c r="O41" s="43"/>
    </row>
    <row r="42" spans="1:15" ht="20.25" x14ac:dyDescent="0.2">
      <c r="A42" s="45"/>
      <c r="B42" s="45"/>
      <c r="C42" s="46"/>
      <c r="D42" s="46"/>
      <c r="E42" s="65"/>
      <c r="F42" s="65"/>
      <c r="G42" s="65"/>
      <c r="H42" s="65"/>
      <c r="I42" s="65"/>
      <c r="J42" s="43"/>
      <c r="K42" s="43"/>
      <c r="L42" s="43"/>
      <c r="M42" s="43"/>
      <c r="N42" s="43"/>
      <c r="O42" s="43"/>
    </row>
    <row r="43" spans="1:15" ht="20.25" x14ac:dyDescent="0.2">
      <c r="A43" s="45"/>
      <c r="B43" s="45"/>
      <c r="C43" s="46"/>
      <c r="D43" s="46"/>
      <c r="E43" s="65"/>
      <c r="F43" s="65"/>
      <c r="G43" s="65"/>
      <c r="H43" s="65"/>
      <c r="I43" s="65"/>
      <c r="J43" s="43"/>
      <c r="K43" s="43"/>
      <c r="L43" s="43"/>
      <c r="M43" s="43"/>
      <c r="N43" s="43"/>
      <c r="O43" s="43"/>
    </row>
    <row r="44" spans="1:15" ht="20.25" x14ac:dyDescent="0.2">
      <c r="A44" s="45"/>
      <c r="B44" s="45"/>
      <c r="C44" s="46"/>
      <c r="D44" s="46"/>
      <c r="E44" s="65"/>
      <c r="F44" s="65"/>
      <c r="G44" s="65"/>
      <c r="H44" s="65"/>
      <c r="I44" s="65"/>
      <c r="J44" s="43"/>
      <c r="K44" s="43"/>
      <c r="L44" s="43"/>
      <c r="M44" s="43"/>
      <c r="N44" s="43"/>
      <c r="O44" s="43"/>
    </row>
    <row r="45" spans="1:15" ht="20.25" x14ac:dyDescent="0.2">
      <c r="A45" s="45"/>
      <c r="B45" s="45"/>
      <c r="C45" s="46"/>
      <c r="D45" s="46"/>
      <c r="E45" s="65"/>
      <c r="F45" s="65"/>
      <c r="G45" s="65"/>
      <c r="H45" s="65"/>
      <c r="I45" s="65"/>
      <c r="J45" s="43"/>
      <c r="K45" s="43"/>
      <c r="L45" s="43"/>
      <c r="M45" s="43"/>
      <c r="N45" s="43"/>
      <c r="O45" s="43"/>
    </row>
    <row r="46" spans="1:15" ht="20.25" x14ac:dyDescent="0.2">
      <c r="A46" s="45"/>
      <c r="B46" s="45"/>
      <c r="C46" s="46"/>
      <c r="D46" s="46"/>
      <c r="E46" s="65"/>
      <c r="F46" s="65"/>
      <c r="G46" s="65"/>
      <c r="H46" s="65"/>
      <c r="I46" s="65"/>
      <c r="J46" s="43"/>
      <c r="K46" s="43"/>
      <c r="L46" s="43"/>
      <c r="M46" s="43"/>
      <c r="N46" s="43"/>
      <c r="O46" s="43"/>
    </row>
    <row r="47" spans="1:15" ht="20.25" x14ac:dyDescent="0.2">
      <c r="A47" s="45"/>
      <c r="B47" s="45"/>
      <c r="C47" s="46"/>
      <c r="D47" s="46"/>
      <c r="E47" s="65"/>
      <c r="F47" s="65"/>
      <c r="G47" s="65"/>
      <c r="H47" s="65"/>
      <c r="I47" s="65"/>
      <c r="J47" s="43"/>
      <c r="K47" s="43"/>
      <c r="L47" s="43"/>
      <c r="M47" s="43"/>
      <c r="N47" s="43"/>
      <c r="O47" s="43"/>
    </row>
    <row r="48" spans="1:15" ht="20.25" x14ac:dyDescent="0.2">
      <c r="A48" s="45"/>
      <c r="B48" s="45"/>
      <c r="C48" s="46"/>
      <c r="D48" s="46"/>
      <c r="E48" s="65"/>
      <c r="F48" s="65"/>
      <c r="G48" s="65"/>
      <c r="H48" s="65"/>
      <c r="I48" s="65"/>
      <c r="J48" s="43"/>
      <c r="K48" s="43"/>
      <c r="L48" s="43"/>
      <c r="M48" s="43"/>
      <c r="N48" s="43"/>
      <c r="O48" s="43"/>
    </row>
    <row r="49" spans="1:15" ht="20.25" x14ac:dyDescent="0.2">
      <c r="A49" s="45"/>
      <c r="B49" s="45"/>
      <c r="C49" s="46"/>
      <c r="D49" s="46"/>
      <c r="E49" s="65"/>
      <c r="F49" s="65"/>
      <c r="G49" s="65"/>
      <c r="H49" s="65"/>
      <c r="I49" s="65"/>
      <c r="J49" s="43"/>
      <c r="K49" s="43"/>
      <c r="L49" s="43"/>
      <c r="M49" s="43"/>
      <c r="N49" s="43"/>
      <c r="O49" s="43"/>
    </row>
    <row r="50" spans="1:15" ht="20.25" x14ac:dyDescent="0.2">
      <c r="A50" s="45"/>
      <c r="B50" s="45"/>
      <c r="C50" s="46"/>
      <c r="D50" s="46"/>
      <c r="E50" s="65"/>
      <c r="F50" s="65"/>
      <c r="G50" s="65"/>
      <c r="H50" s="65"/>
      <c r="I50" s="65"/>
      <c r="J50" s="43"/>
      <c r="K50" s="43"/>
      <c r="L50" s="43"/>
      <c r="M50" s="43"/>
      <c r="N50" s="43"/>
      <c r="O50" s="43"/>
    </row>
    <row r="51" spans="1:15" ht="20.25" x14ac:dyDescent="0.2">
      <c r="A51" s="45"/>
      <c r="B51" s="49"/>
      <c r="C51" s="50"/>
      <c r="D51" s="50"/>
    </row>
    <row r="52" spans="1:15" ht="20.25" x14ac:dyDescent="0.2">
      <c r="A52" s="45"/>
      <c r="B52" s="49"/>
      <c r="C52" s="50"/>
      <c r="D52" s="50"/>
    </row>
    <row r="53" spans="1:15" ht="20.25" x14ac:dyDescent="0.2">
      <c r="A53" s="45"/>
      <c r="B53" s="49"/>
      <c r="C53" s="50"/>
      <c r="D53" s="50"/>
    </row>
    <row r="54" spans="1:15" ht="20.25" x14ac:dyDescent="0.2">
      <c r="A54" s="45"/>
      <c r="B54" s="49"/>
      <c r="C54" s="50"/>
      <c r="D54" s="50"/>
    </row>
    <row r="55" spans="1:15" ht="20.25" x14ac:dyDescent="0.2">
      <c r="A55" s="45"/>
      <c r="B55" s="49"/>
      <c r="C55" s="50"/>
      <c r="D55" s="50"/>
    </row>
    <row r="56" spans="1:15" ht="20.25" x14ac:dyDescent="0.2">
      <c r="A56" s="45"/>
      <c r="B56" s="49"/>
      <c r="C56" s="50"/>
      <c r="D56" s="50"/>
    </row>
    <row r="57" spans="1:15" ht="20.25" x14ac:dyDescent="0.2">
      <c r="A57" s="45"/>
      <c r="B57" s="49"/>
      <c r="C57" s="50"/>
      <c r="D57" s="50"/>
    </row>
    <row r="58" spans="1:15" ht="20.25" x14ac:dyDescent="0.2">
      <c r="A58" s="45"/>
      <c r="B58" s="49"/>
      <c r="C58" s="50"/>
      <c r="D58" s="50"/>
    </row>
    <row r="59" spans="1:15" ht="20.25" x14ac:dyDescent="0.2">
      <c r="A59" s="45"/>
      <c r="B59" s="49"/>
      <c r="C59" s="50"/>
      <c r="D59" s="50"/>
    </row>
    <row r="60" spans="1:15" ht="20.25" x14ac:dyDescent="0.2">
      <c r="A60" s="45"/>
      <c r="B60" s="49"/>
      <c r="C60" s="50"/>
      <c r="D60" s="50"/>
    </row>
    <row r="61" spans="1:15" ht="20.25" x14ac:dyDescent="0.2">
      <c r="A61" s="45"/>
      <c r="B61" s="49"/>
      <c r="C61" s="50"/>
      <c r="D61" s="50"/>
    </row>
    <row r="62" spans="1:15" ht="20.25" x14ac:dyDescent="0.2">
      <c r="A62" s="45"/>
      <c r="B62" s="49"/>
      <c r="C62" s="50"/>
      <c r="D62" s="50"/>
    </row>
    <row r="63" spans="1:15" ht="20.25" x14ac:dyDescent="0.2">
      <c r="A63" s="45"/>
      <c r="B63" s="49"/>
      <c r="C63" s="50"/>
      <c r="D63" s="50"/>
    </row>
    <row r="64" spans="1:15" ht="20.25" x14ac:dyDescent="0.2">
      <c r="A64" s="45"/>
      <c r="B64" s="49"/>
      <c r="C64" s="50"/>
      <c r="D64" s="50"/>
    </row>
    <row r="65" spans="1:4" ht="20.25" x14ac:dyDescent="0.2">
      <c r="A65" s="45"/>
      <c r="B65" s="49"/>
      <c r="C65" s="50"/>
      <c r="D65" s="50"/>
    </row>
    <row r="66" spans="1:4" ht="20.25" x14ac:dyDescent="0.2">
      <c r="A66" s="45"/>
      <c r="B66" s="49"/>
      <c r="C66" s="50"/>
      <c r="D66" s="50"/>
    </row>
    <row r="67" spans="1:4" ht="20.25" x14ac:dyDescent="0.2">
      <c r="A67" s="45"/>
      <c r="B67" s="49"/>
      <c r="C67" s="50"/>
      <c r="D67" s="50"/>
    </row>
    <row r="68" spans="1:4" ht="20.25" x14ac:dyDescent="0.2">
      <c r="A68" s="45"/>
      <c r="B68" s="49"/>
      <c r="C68" s="50"/>
      <c r="D68" s="50"/>
    </row>
    <row r="69" spans="1:4" ht="20.25" x14ac:dyDescent="0.2">
      <c r="A69" s="45"/>
      <c r="B69" s="49"/>
      <c r="C69" s="50"/>
      <c r="D69" s="50"/>
    </row>
    <row r="70" spans="1:4" ht="20.25" x14ac:dyDescent="0.2">
      <c r="A70" s="45"/>
      <c r="B70" s="49"/>
      <c r="C70" s="50"/>
      <c r="D70" s="50"/>
    </row>
    <row r="71" spans="1:4" ht="20.25" x14ac:dyDescent="0.2">
      <c r="A71" s="45"/>
      <c r="B71" s="49"/>
      <c r="C71" s="50"/>
      <c r="D71" s="50"/>
    </row>
    <row r="72" spans="1:4" ht="20.25" x14ac:dyDescent="0.2">
      <c r="A72" s="45"/>
      <c r="B72" s="49"/>
      <c r="C72" s="50"/>
      <c r="D72" s="50"/>
    </row>
    <row r="73" spans="1:4" ht="20.25" x14ac:dyDescent="0.2">
      <c r="A73" s="45"/>
      <c r="B73" s="49"/>
      <c r="C73" s="50"/>
      <c r="D73" s="50"/>
    </row>
    <row r="74" spans="1:4" ht="20.25" x14ac:dyDescent="0.2">
      <c r="A74" s="45"/>
      <c r="B74" s="49"/>
      <c r="C74" s="50"/>
      <c r="D74" s="50"/>
    </row>
    <row r="75" spans="1:4" ht="20.25" x14ac:dyDescent="0.2">
      <c r="A75" s="45"/>
      <c r="B75" s="49"/>
      <c r="C75" s="50"/>
      <c r="D75" s="50"/>
    </row>
    <row r="76" spans="1:4" ht="20.25" x14ac:dyDescent="0.2">
      <c r="A76" s="45"/>
      <c r="B76" s="49"/>
      <c r="C76" s="50"/>
      <c r="D76" s="50"/>
    </row>
    <row r="77" spans="1:4" ht="20.25" x14ac:dyDescent="0.2">
      <c r="A77" s="45"/>
      <c r="B77" s="49"/>
      <c r="C77" s="50"/>
      <c r="D77" s="50"/>
    </row>
    <row r="78" spans="1:4" ht="20.25" x14ac:dyDescent="0.2">
      <c r="A78" s="45"/>
      <c r="B78" s="49"/>
      <c r="C78" s="50"/>
      <c r="D78" s="50"/>
    </row>
    <row r="79" spans="1:4" ht="20.25" x14ac:dyDescent="0.2">
      <c r="A79" s="45"/>
      <c r="B79" s="49"/>
      <c r="C79" s="50"/>
      <c r="D79" s="50"/>
    </row>
    <row r="80" spans="1:4" ht="20.25" x14ac:dyDescent="0.2">
      <c r="A80" s="45"/>
      <c r="B80" s="49"/>
      <c r="C80" s="50"/>
      <c r="D80" s="50"/>
    </row>
    <row r="81" spans="1:4" ht="20.25" x14ac:dyDescent="0.2">
      <c r="A81" s="45"/>
      <c r="B81" s="49"/>
      <c r="C81" s="50"/>
      <c r="D81" s="50"/>
    </row>
    <row r="82" spans="1:4" ht="20.25" x14ac:dyDescent="0.2">
      <c r="A82" s="45"/>
      <c r="B82" s="49"/>
      <c r="C82" s="50"/>
      <c r="D82" s="50"/>
    </row>
    <row r="83" spans="1:4" ht="20.25" x14ac:dyDescent="0.2">
      <c r="A83" s="45"/>
      <c r="B83" s="49"/>
      <c r="C83" s="50"/>
      <c r="D83" s="50"/>
    </row>
    <row r="84" spans="1:4" ht="20.25" x14ac:dyDescent="0.2">
      <c r="A84" s="45"/>
      <c r="B84" s="49"/>
      <c r="C84" s="50"/>
      <c r="D84" s="50"/>
    </row>
    <row r="85" spans="1:4" ht="20.25" x14ac:dyDescent="0.2">
      <c r="A85" s="45"/>
      <c r="B85" s="49"/>
      <c r="C85" s="50"/>
      <c r="D85" s="50"/>
    </row>
    <row r="86" spans="1:4" ht="20.25" x14ac:dyDescent="0.2">
      <c r="A86" s="45"/>
      <c r="B86" s="49"/>
      <c r="C86" s="50"/>
      <c r="D86" s="50"/>
    </row>
    <row r="87" spans="1:4" ht="20.25" x14ac:dyDescent="0.2">
      <c r="A87" s="45"/>
      <c r="B87" s="49"/>
      <c r="C87" s="50"/>
      <c r="D87" s="50"/>
    </row>
    <row r="88" spans="1:4" ht="20.25" x14ac:dyDescent="0.2">
      <c r="A88" s="45"/>
      <c r="B88" s="49"/>
      <c r="C88" s="50"/>
      <c r="D88" s="50"/>
    </row>
    <row r="89" spans="1:4" ht="20.25" x14ac:dyDescent="0.2">
      <c r="A89" s="45"/>
      <c r="B89" s="49"/>
      <c r="C89" s="50"/>
      <c r="D89" s="50"/>
    </row>
    <row r="90" spans="1:4" ht="20.25" x14ac:dyDescent="0.2">
      <c r="A90" s="45"/>
      <c r="B90" s="49"/>
      <c r="C90" s="50"/>
      <c r="D90" s="50"/>
    </row>
    <row r="91" spans="1:4" ht="20.25" x14ac:dyDescent="0.2">
      <c r="A91" s="45"/>
      <c r="B91" s="49"/>
      <c r="C91" s="50"/>
      <c r="D91" s="50"/>
    </row>
    <row r="92" spans="1:4" ht="20.25" x14ac:dyDescent="0.2">
      <c r="A92" s="45"/>
      <c r="B92" s="49"/>
      <c r="C92" s="50"/>
      <c r="D92" s="50"/>
    </row>
    <row r="93" spans="1:4" ht="20.25" x14ac:dyDescent="0.2">
      <c r="A93" s="45"/>
      <c r="B93" s="49"/>
      <c r="C93" s="50"/>
      <c r="D93" s="50"/>
    </row>
    <row r="94" spans="1:4" ht="20.25" x14ac:dyDescent="0.2">
      <c r="A94" s="45"/>
      <c r="B94" s="49"/>
      <c r="C94" s="50"/>
      <c r="D94" s="50"/>
    </row>
    <row r="95" spans="1:4" ht="20.25" x14ac:dyDescent="0.2">
      <c r="A95" s="45"/>
      <c r="B95" s="49"/>
      <c r="C95" s="50"/>
      <c r="D95" s="50"/>
    </row>
    <row r="96" spans="1:4" ht="20.25" x14ac:dyDescent="0.2">
      <c r="A96" s="45"/>
      <c r="B96" s="49"/>
      <c r="C96" s="50"/>
      <c r="D96" s="50"/>
    </row>
    <row r="97" spans="1:4" ht="20.25" x14ac:dyDescent="0.2">
      <c r="A97" s="45"/>
      <c r="B97" s="49"/>
      <c r="C97" s="50"/>
      <c r="D97" s="50"/>
    </row>
    <row r="98" spans="1:4" ht="20.25" x14ac:dyDescent="0.2">
      <c r="A98" s="45"/>
      <c r="B98" s="49"/>
      <c r="C98" s="50"/>
      <c r="D98" s="50"/>
    </row>
    <row r="99" spans="1:4" ht="20.25" x14ac:dyDescent="0.2">
      <c r="A99" s="45"/>
      <c r="B99" s="49"/>
      <c r="C99" s="50"/>
      <c r="D99" s="50"/>
    </row>
    <row r="100" spans="1:4" ht="20.25" x14ac:dyDescent="0.2">
      <c r="A100" s="45"/>
      <c r="B100" s="49"/>
      <c r="C100" s="50"/>
      <c r="D100" s="50"/>
    </row>
    <row r="101" spans="1:4" ht="20.25" x14ac:dyDescent="0.2">
      <c r="A101" s="45"/>
      <c r="B101" s="49"/>
      <c r="C101" s="50"/>
      <c r="D101" s="50"/>
    </row>
    <row r="102" spans="1:4" ht="20.25" x14ac:dyDescent="0.2">
      <c r="A102" s="45"/>
      <c r="B102" s="49"/>
      <c r="C102" s="50"/>
      <c r="D102" s="50"/>
    </row>
    <row r="103" spans="1:4" ht="20.25" x14ac:dyDescent="0.2">
      <c r="A103" s="45"/>
      <c r="B103" s="49"/>
      <c r="C103" s="50"/>
      <c r="D103" s="50"/>
    </row>
    <row r="104" spans="1:4" ht="20.25" x14ac:dyDescent="0.2">
      <c r="A104" s="45"/>
      <c r="B104" s="49"/>
      <c r="C104" s="50"/>
      <c r="D104" s="50"/>
    </row>
    <row r="105" spans="1:4" ht="20.25" x14ac:dyDescent="0.2">
      <c r="A105" s="45"/>
      <c r="B105" s="49"/>
      <c r="C105" s="50"/>
      <c r="D105" s="50"/>
    </row>
    <row r="106" spans="1:4" ht="20.25" x14ac:dyDescent="0.2">
      <c r="A106" s="45"/>
      <c r="B106" s="49"/>
      <c r="C106" s="50"/>
      <c r="D106" s="50"/>
    </row>
    <row r="107" spans="1:4" ht="20.25" x14ac:dyDescent="0.2">
      <c r="A107" s="45"/>
      <c r="B107" s="49"/>
      <c r="C107" s="50"/>
      <c r="D107" s="50"/>
    </row>
    <row r="108" spans="1:4" ht="20.25" x14ac:dyDescent="0.2">
      <c r="A108" s="45"/>
      <c r="B108" s="49"/>
      <c r="C108" s="50"/>
      <c r="D108" s="50"/>
    </row>
    <row r="109" spans="1:4" ht="20.25" x14ac:dyDescent="0.2">
      <c r="A109" s="45"/>
      <c r="B109" s="49"/>
      <c r="C109" s="50"/>
      <c r="D109" s="50"/>
    </row>
    <row r="110" spans="1:4" ht="20.25" x14ac:dyDescent="0.2">
      <c r="A110" s="45"/>
      <c r="B110" s="49"/>
      <c r="C110" s="50"/>
      <c r="D110" s="50"/>
    </row>
    <row r="111" spans="1:4" ht="20.25" x14ac:dyDescent="0.2">
      <c r="A111" s="45"/>
      <c r="B111" s="49"/>
      <c r="C111" s="50"/>
      <c r="D111" s="50"/>
    </row>
    <row r="112" spans="1:4" ht="20.25" x14ac:dyDescent="0.2">
      <c r="A112" s="45"/>
      <c r="B112" s="49"/>
      <c r="C112" s="50"/>
      <c r="D112" s="50"/>
    </row>
    <row r="113" spans="1:4" ht="20.25" x14ac:dyDescent="0.2">
      <c r="A113" s="45"/>
      <c r="B113" s="49"/>
      <c r="C113" s="50"/>
      <c r="D113" s="50"/>
    </row>
    <row r="114" spans="1:4" ht="20.25" x14ac:dyDescent="0.2">
      <c r="A114" s="45"/>
      <c r="B114" s="49"/>
      <c r="C114" s="50"/>
      <c r="D114" s="50"/>
    </row>
    <row r="115" spans="1:4" ht="20.25" x14ac:dyDescent="0.2">
      <c r="A115" s="45"/>
      <c r="B115" s="49"/>
      <c r="C115" s="50"/>
      <c r="D115" s="50"/>
    </row>
    <row r="116" spans="1:4" ht="20.25" x14ac:dyDescent="0.2">
      <c r="A116" s="45"/>
      <c r="B116" s="49"/>
      <c r="C116" s="50"/>
      <c r="D116" s="50"/>
    </row>
    <row r="117" spans="1:4" ht="20.25" x14ac:dyDescent="0.2">
      <c r="A117" s="45"/>
      <c r="B117" s="49"/>
      <c r="C117" s="50"/>
      <c r="D117" s="50"/>
    </row>
    <row r="118" spans="1:4" ht="20.25" x14ac:dyDescent="0.2">
      <c r="A118" s="45"/>
      <c r="B118" s="49"/>
      <c r="C118" s="50"/>
      <c r="D118" s="50"/>
    </row>
    <row r="119" spans="1:4" ht="20.25" x14ac:dyDescent="0.2">
      <c r="A119" s="45"/>
      <c r="B119" s="49"/>
      <c r="C119" s="50"/>
      <c r="D119" s="50"/>
    </row>
    <row r="120" spans="1:4" ht="20.25" x14ac:dyDescent="0.2">
      <c r="A120" s="45"/>
      <c r="B120" s="49"/>
      <c r="C120" s="50"/>
      <c r="D120" s="50"/>
    </row>
    <row r="121" spans="1:4" ht="20.25" x14ac:dyDescent="0.2">
      <c r="A121" s="45"/>
      <c r="B121" s="49"/>
      <c r="C121" s="50"/>
      <c r="D121" s="50"/>
    </row>
    <row r="122" spans="1:4" ht="20.25" x14ac:dyDescent="0.2">
      <c r="A122" s="45"/>
      <c r="B122" s="49"/>
      <c r="C122" s="50"/>
      <c r="D122" s="50"/>
    </row>
    <row r="123" spans="1:4" ht="20.25" x14ac:dyDescent="0.2">
      <c r="A123" s="45"/>
      <c r="B123" s="49"/>
      <c r="C123" s="50"/>
      <c r="D123" s="50"/>
    </row>
    <row r="124" spans="1:4" ht="20.25" x14ac:dyDescent="0.2">
      <c r="A124" s="45"/>
      <c r="B124" s="49"/>
      <c r="C124" s="50"/>
      <c r="D124" s="50"/>
    </row>
    <row r="125" spans="1:4" ht="20.25" x14ac:dyDescent="0.2">
      <c r="A125" s="45"/>
      <c r="B125" s="49"/>
      <c r="C125" s="50"/>
      <c r="D125" s="50"/>
    </row>
    <row r="126" spans="1:4" ht="20.25" x14ac:dyDescent="0.2">
      <c r="A126" s="45"/>
      <c r="B126" s="49"/>
      <c r="C126" s="50"/>
      <c r="D126" s="50"/>
    </row>
    <row r="127" spans="1:4" ht="20.25" x14ac:dyDescent="0.2">
      <c r="A127" s="45"/>
      <c r="B127" s="49"/>
      <c r="C127" s="50"/>
      <c r="D127" s="50"/>
    </row>
    <row r="128" spans="1:4" ht="20.25" x14ac:dyDescent="0.2">
      <c r="A128" s="45"/>
      <c r="B128" s="49"/>
      <c r="C128" s="50"/>
      <c r="D128" s="50"/>
    </row>
    <row r="129" spans="1:4" ht="20.25" x14ac:dyDescent="0.2">
      <c r="A129" s="45"/>
      <c r="B129" s="49"/>
      <c r="C129" s="50"/>
      <c r="D129" s="50"/>
    </row>
    <row r="130" spans="1:4" ht="20.25" x14ac:dyDescent="0.2">
      <c r="A130" s="45"/>
      <c r="B130" s="49"/>
      <c r="C130" s="50"/>
      <c r="D130" s="50"/>
    </row>
    <row r="131" spans="1:4" ht="20.25" x14ac:dyDescent="0.2">
      <c r="A131" s="45"/>
      <c r="B131" s="49"/>
      <c r="C131" s="50"/>
      <c r="D131" s="50"/>
    </row>
    <row r="132" spans="1:4" ht="20.25" x14ac:dyDescent="0.2">
      <c r="A132" s="45"/>
      <c r="B132" s="49"/>
      <c r="C132" s="50"/>
      <c r="D132" s="50"/>
    </row>
    <row r="133" spans="1:4" ht="20.25" x14ac:dyDescent="0.2">
      <c r="A133" s="45"/>
      <c r="B133" s="49"/>
      <c r="C133" s="50"/>
      <c r="D133" s="50"/>
    </row>
    <row r="134" spans="1:4" ht="20.25" x14ac:dyDescent="0.2">
      <c r="A134" s="45"/>
      <c r="B134" s="49"/>
      <c r="C134" s="50"/>
      <c r="D134" s="50"/>
    </row>
    <row r="135" spans="1:4" ht="20.25" x14ac:dyDescent="0.2">
      <c r="A135" s="45"/>
      <c r="B135" s="49"/>
      <c r="C135" s="50"/>
      <c r="D135" s="50"/>
    </row>
    <row r="136" spans="1:4" ht="20.25" x14ac:dyDescent="0.2">
      <c r="A136" s="45"/>
      <c r="B136" s="49"/>
      <c r="C136" s="50"/>
      <c r="D136" s="50"/>
    </row>
    <row r="137" spans="1:4" ht="20.25" x14ac:dyDescent="0.2">
      <c r="A137" s="45"/>
      <c r="B137" s="49"/>
      <c r="C137" s="50"/>
      <c r="D137" s="50"/>
    </row>
    <row r="138" spans="1:4" ht="20.25" x14ac:dyDescent="0.2">
      <c r="A138" s="45"/>
      <c r="B138" s="49"/>
      <c r="C138" s="50"/>
      <c r="D138" s="50"/>
    </row>
    <row r="139" spans="1:4" ht="20.25" x14ac:dyDescent="0.2">
      <c r="A139" s="45"/>
      <c r="B139" s="49"/>
      <c r="C139" s="50"/>
      <c r="D139" s="50"/>
    </row>
    <row r="140" spans="1:4" ht="20.25" x14ac:dyDescent="0.2">
      <c r="A140" s="45"/>
      <c r="B140" s="49"/>
      <c r="C140" s="50"/>
      <c r="D140" s="50"/>
    </row>
    <row r="141" spans="1:4" ht="20.25" x14ac:dyDescent="0.2">
      <c r="A141" s="45"/>
      <c r="B141" s="49"/>
      <c r="C141" s="50"/>
      <c r="D141" s="50"/>
    </row>
    <row r="142" spans="1:4" ht="20.25" x14ac:dyDescent="0.2">
      <c r="A142" s="45"/>
      <c r="B142" s="49"/>
      <c r="C142" s="50"/>
      <c r="D142" s="50"/>
    </row>
    <row r="143" spans="1:4" ht="20.25" x14ac:dyDescent="0.2">
      <c r="A143" s="45"/>
      <c r="B143" s="49"/>
      <c r="C143" s="50"/>
      <c r="D143" s="50"/>
    </row>
    <row r="144" spans="1:4" ht="20.25" x14ac:dyDescent="0.2">
      <c r="A144" s="45"/>
      <c r="B144" s="49"/>
      <c r="C144" s="50"/>
      <c r="D144" s="50"/>
    </row>
    <row r="145" spans="1:4" ht="20.25" x14ac:dyDescent="0.2">
      <c r="A145" s="45"/>
      <c r="B145" s="49"/>
      <c r="C145" s="50"/>
      <c r="D145" s="50"/>
    </row>
    <row r="146" spans="1:4" ht="20.25" x14ac:dyDescent="0.2">
      <c r="A146" s="45"/>
      <c r="B146" s="49"/>
      <c r="C146" s="50"/>
      <c r="D146" s="50"/>
    </row>
    <row r="147" spans="1:4" ht="20.25" x14ac:dyDescent="0.2">
      <c r="A147" s="45"/>
      <c r="B147" s="49"/>
      <c r="C147" s="50"/>
      <c r="D147" s="50"/>
    </row>
    <row r="148" spans="1:4" ht="20.25" x14ac:dyDescent="0.2">
      <c r="A148" s="45"/>
      <c r="B148" s="49"/>
      <c r="C148" s="50"/>
      <c r="D148" s="50"/>
    </row>
    <row r="149" spans="1:4" ht="20.25" x14ac:dyDescent="0.2">
      <c r="A149" s="45"/>
      <c r="B149" s="49"/>
      <c r="C149" s="50"/>
      <c r="D149" s="50"/>
    </row>
    <row r="150" spans="1:4" ht="20.25" x14ac:dyDescent="0.2">
      <c r="A150" s="45"/>
      <c r="B150" s="49"/>
      <c r="C150" s="50"/>
      <c r="D150" s="50"/>
    </row>
    <row r="151" spans="1:4" ht="20.25" x14ac:dyDescent="0.2">
      <c r="A151" s="45"/>
      <c r="B151" s="49"/>
      <c r="C151" s="50"/>
      <c r="D151" s="50"/>
    </row>
    <row r="152" spans="1:4" ht="20.25" x14ac:dyDescent="0.2">
      <c r="A152" s="45"/>
      <c r="B152" s="49"/>
      <c r="C152" s="50"/>
      <c r="D152" s="50"/>
    </row>
    <row r="153" spans="1:4" ht="20.25" x14ac:dyDescent="0.2">
      <c r="A153" s="45"/>
      <c r="B153" s="49"/>
      <c r="C153" s="50"/>
      <c r="D153" s="50"/>
    </row>
    <row r="154" spans="1:4" ht="20.25" x14ac:dyDescent="0.2">
      <c r="A154" s="45"/>
      <c r="B154" s="49"/>
      <c r="C154" s="50"/>
      <c r="D154" s="50"/>
    </row>
    <row r="155" spans="1:4" ht="20.25" x14ac:dyDescent="0.2">
      <c r="A155" s="45"/>
      <c r="B155" s="49"/>
      <c r="C155" s="50"/>
      <c r="D155" s="50"/>
    </row>
    <row r="156" spans="1:4" ht="20.25" x14ac:dyDescent="0.2">
      <c r="A156" s="45"/>
      <c r="B156" s="49"/>
      <c r="C156" s="50"/>
      <c r="D156" s="50"/>
    </row>
    <row r="157" spans="1:4" ht="20.25" x14ac:dyDescent="0.2">
      <c r="A157" s="45"/>
      <c r="B157" s="49"/>
      <c r="C157" s="50"/>
      <c r="D157" s="50"/>
    </row>
    <row r="158" spans="1:4" ht="20.25" x14ac:dyDescent="0.2">
      <c r="A158" s="45"/>
      <c r="B158" s="49"/>
      <c r="C158" s="50"/>
      <c r="D158" s="50"/>
    </row>
    <row r="159" spans="1:4" ht="20.25" x14ac:dyDescent="0.2">
      <c r="A159" s="45"/>
      <c r="B159" s="49"/>
      <c r="C159" s="50"/>
      <c r="D159" s="50"/>
    </row>
    <row r="160" spans="1:4" ht="20.25" x14ac:dyDescent="0.2">
      <c r="A160" s="45"/>
      <c r="B160" s="49"/>
      <c r="C160" s="50"/>
      <c r="D160" s="50"/>
    </row>
    <row r="161" spans="1:4" ht="20.25" x14ac:dyDescent="0.2">
      <c r="A161" s="45"/>
      <c r="B161" s="49"/>
      <c r="C161" s="50"/>
      <c r="D161" s="50"/>
    </row>
    <row r="162" spans="1:4" ht="20.25" x14ac:dyDescent="0.2">
      <c r="A162" s="45"/>
      <c r="B162" s="49"/>
      <c r="C162" s="50"/>
      <c r="D162" s="50"/>
    </row>
    <row r="163" spans="1:4" ht="20.25" x14ac:dyDescent="0.2">
      <c r="A163" s="45"/>
      <c r="B163" s="49"/>
      <c r="C163" s="50"/>
      <c r="D163" s="50"/>
    </row>
    <row r="164" spans="1:4" ht="20.25" x14ac:dyDescent="0.2">
      <c r="A164" s="45"/>
      <c r="B164" s="49"/>
      <c r="C164" s="50"/>
      <c r="D164" s="50"/>
    </row>
    <row r="165" spans="1:4" ht="20.25" x14ac:dyDescent="0.2">
      <c r="A165" s="45"/>
      <c r="B165" s="49"/>
      <c r="C165" s="50"/>
      <c r="D165" s="50"/>
    </row>
    <row r="166" spans="1:4" ht="20.25" x14ac:dyDescent="0.2">
      <c r="A166" s="45"/>
      <c r="B166" s="49"/>
      <c r="C166" s="50"/>
      <c r="D166" s="50"/>
    </row>
    <row r="167" spans="1:4" ht="20.25" x14ac:dyDescent="0.2">
      <c r="A167" s="45"/>
      <c r="B167" s="49"/>
      <c r="C167" s="50"/>
      <c r="D167" s="50"/>
    </row>
    <row r="168" spans="1:4" ht="20.25" x14ac:dyDescent="0.2">
      <c r="A168" s="45"/>
      <c r="B168" s="49"/>
      <c r="C168" s="50"/>
      <c r="D168" s="50"/>
    </row>
    <row r="169" spans="1:4" ht="20.25" x14ac:dyDescent="0.2">
      <c r="A169" s="45"/>
      <c r="B169" s="49"/>
      <c r="C169" s="50"/>
      <c r="D169" s="50"/>
    </row>
    <row r="170" spans="1:4" ht="20.25" x14ac:dyDescent="0.2">
      <c r="A170" s="45"/>
      <c r="B170" s="49"/>
      <c r="C170" s="50"/>
      <c r="D170" s="50"/>
    </row>
    <row r="171" spans="1:4" ht="20.25" x14ac:dyDescent="0.2">
      <c r="A171" s="45"/>
      <c r="B171" s="49"/>
      <c r="C171" s="50"/>
      <c r="D171" s="50"/>
    </row>
    <row r="172" spans="1:4" ht="20.25" x14ac:dyDescent="0.2">
      <c r="A172" s="45"/>
      <c r="B172" s="49"/>
      <c r="C172" s="50"/>
      <c r="D172" s="50"/>
    </row>
    <row r="173" spans="1:4" ht="20.25" x14ac:dyDescent="0.2">
      <c r="A173" s="45"/>
      <c r="B173" s="49"/>
      <c r="C173" s="50"/>
      <c r="D173" s="50"/>
    </row>
    <row r="174" spans="1:4" ht="20.25" x14ac:dyDescent="0.2">
      <c r="A174" s="45"/>
      <c r="B174" s="49"/>
      <c r="C174" s="50"/>
      <c r="D174" s="50"/>
    </row>
    <row r="175" spans="1:4" ht="20.25" x14ac:dyDescent="0.2">
      <c r="A175" s="45"/>
      <c r="B175" s="49"/>
      <c r="C175" s="50"/>
      <c r="D175" s="50"/>
    </row>
    <row r="176" spans="1:4" ht="20.25" x14ac:dyDescent="0.2">
      <c r="A176" s="45"/>
      <c r="B176" s="49"/>
      <c r="C176" s="50"/>
      <c r="D176" s="50"/>
    </row>
    <row r="177" spans="1:4" ht="20.25" x14ac:dyDescent="0.2">
      <c r="A177" s="45"/>
      <c r="B177" s="49"/>
      <c r="C177" s="50"/>
      <c r="D177" s="50"/>
    </row>
    <row r="178" spans="1:4" ht="20.25" x14ac:dyDescent="0.2">
      <c r="A178" s="45"/>
      <c r="B178" s="49"/>
      <c r="C178" s="50"/>
      <c r="D178" s="50"/>
    </row>
    <row r="179" spans="1:4" ht="20.25" x14ac:dyDescent="0.2">
      <c r="A179" s="45"/>
      <c r="B179" s="49"/>
      <c r="C179" s="50"/>
      <c r="D179" s="50"/>
    </row>
    <row r="180" spans="1:4" ht="20.25" x14ac:dyDescent="0.2">
      <c r="A180" s="45"/>
      <c r="B180" s="49"/>
      <c r="C180" s="50"/>
      <c r="D180" s="50"/>
    </row>
    <row r="181" spans="1:4" ht="20.25" x14ac:dyDescent="0.2">
      <c r="A181" s="45"/>
      <c r="B181" s="49"/>
      <c r="C181" s="50"/>
      <c r="D181" s="50"/>
    </row>
    <row r="182" spans="1:4" ht="20.25" x14ac:dyDescent="0.2">
      <c r="A182" s="45"/>
      <c r="B182" s="49"/>
      <c r="C182" s="50"/>
      <c r="D182" s="50"/>
    </row>
    <row r="183" spans="1:4" ht="20.25" x14ac:dyDescent="0.2">
      <c r="A183" s="45"/>
      <c r="B183" s="49"/>
      <c r="C183" s="50"/>
      <c r="D183" s="50"/>
    </row>
    <row r="184" spans="1:4" ht="20.25" x14ac:dyDescent="0.2">
      <c r="A184" s="45"/>
      <c r="B184" s="49"/>
      <c r="C184" s="50"/>
      <c r="D184" s="50"/>
    </row>
    <row r="185" spans="1:4" ht="20.25" x14ac:dyDescent="0.2">
      <c r="A185" s="45"/>
      <c r="B185" s="49"/>
      <c r="C185" s="50"/>
      <c r="D185" s="50"/>
    </row>
    <row r="186" spans="1:4" ht="20.25" x14ac:dyDescent="0.2">
      <c r="A186" s="45"/>
      <c r="B186" s="49"/>
      <c r="C186" s="50"/>
      <c r="D186" s="50"/>
    </row>
    <row r="187" spans="1:4" ht="20.25" x14ac:dyDescent="0.2">
      <c r="A187" s="45"/>
      <c r="B187" s="49"/>
      <c r="C187" s="50"/>
      <c r="D187" s="50"/>
    </row>
    <row r="188" spans="1:4" ht="20.25" x14ac:dyDescent="0.2">
      <c r="A188" s="45"/>
      <c r="B188" s="49"/>
      <c r="C188" s="50"/>
      <c r="D188" s="50"/>
    </row>
    <row r="189" spans="1:4" ht="20.25" x14ac:dyDescent="0.2">
      <c r="A189" s="45"/>
      <c r="B189" s="49"/>
      <c r="C189" s="50"/>
      <c r="D189" s="50"/>
    </row>
    <row r="190" spans="1:4" ht="20.25" x14ac:dyDescent="0.2">
      <c r="A190" s="45"/>
      <c r="B190" s="49"/>
      <c r="C190" s="50"/>
      <c r="D190" s="50"/>
    </row>
    <row r="191" spans="1:4" ht="20.25" x14ac:dyDescent="0.2">
      <c r="A191" s="45"/>
      <c r="B191" s="49"/>
      <c r="C191" s="50"/>
      <c r="D191" s="50"/>
    </row>
    <row r="192" spans="1:4" ht="20.25" x14ac:dyDescent="0.2">
      <c r="A192" s="45"/>
      <c r="B192" s="49"/>
      <c r="C192" s="50"/>
      <c r="D192" s="50"/>
    </row>
    <row r="193" spans="1:5" ht="20.25" x14ac:dyDescent="0.2">
      <c r="A193" s="45"/>
      <c r="B193" s="49"/>
      <c r="C193" s="50"/>
      <c r="D193" s="50"/>
    </row>
    <row r="194" spans="1:5" ht="20.25" x14ac:dyDescent="0.2">
      <c r="A194" s="45"/>
      <c r="B194" s="49"/>
      <c r="C194" s="50"/>
      <c r="D194" s="50"/>
    </row>
    <row r="195" spans="1:5" ht="20.25" x14ac:dyDescent="0.2">
      <c r="A195" s="45"/>
      <c r="B195" s="49"/>
      <c r="C195" s="50"/>
      <c r="D195" s="50"/>
    </row>
    <row r="196" spans="1:5" ht="20.25" x14ac:dyDescent="0.2">
      <c r="A196" s="45"/>
      <c r="B196" s="49"/>
      <c r="C196" s="50"/>
      <c r="D196" s="50"/>
    </row>
    <row r="197" spans="1:5" ht="20.25" x14ac:dyDescent="0.2">
      <c r="A197" s="45"/>
      <c r="B197" s="49"/>
      <c r="C197" s="50"/>
      <c r="D197" s="50"/>
    </row>
    <row r="198" spans="1:5" ht="20.25" x14ac:dyDescent="0.2">
      <c r="A198" s="45"/>
      <c r="B198" s="49"/>
      <c r="C198" s="50"/>
      <c r="D198" s="50"/>
    </row>
    <row r="199" spans="1:5" ht="20.25" x14ac:dyDescent="0.2">
      <c r="A199" s="45"/>
      <c r="B199" s="49"/>
      <c r="C199" s="50"/>
      <c r="D199" s="50"/>
    </row>
    <row r="200" spans="1:5" ht="20.25" x14ac:dyDescent="0.2">
      <c r="A200" s="45"/>
      <c r="B200" s="49"/>
      <c r="C200" s="50"/>
      <c r="D200" s="50"/>
    </row>
    <row r="201" spans="1:5" ht="20.25" x14ac:dyDescent="0.2">
      <c r="A201" s="45"/>
      <c r="B201" s="49"/>
      <c r="C201" s="50"/>
      <c r="D201" s="50"/>
    </row>
    <row r="202" spans="1:5" ht="20.25" x14ac:dyDescent="0.2">
      <c r="A202" s="45"/>
      <c r="B202" s="49"/>
      <c r="C202" s="50"/>
      <c r="D202" s="50"/>
    </row>
    <row r="203" spans="1:5" ht="20.25" x14ac:dyDescent="0.2">
      <c r="A203" s="45"/>
      <c r="B203" s="49"/>
      <c r="C203" s="50"/>
      <c r="D203" s="50"/>
    </row>
    <row r="204" spans="1:5" ht="20.25" x14ac:dyDescent="0.2">
      <c r="A204" s="45"/>
      <c r="B204" s="49"/>
      <c r="C204" s="50"/>
      <c r="D204" s="50"/>
    </row>
    <row r="205" spans="1:5" ht="20.25" x14ac:dyDescent="0.2">
      <c r="A205" s="45"/>
      <c r="B205" s="49"/>
      <c r="C205" s="50"/>
      <c r="D205" s="50"/>
    </row>
    <row r="206" spans="1:5" ht="20.25" x14ac:dyDescent="0.2">
      <c r="A206" s="45"/>
      <c r="B206" s="49"/>
      <c r="C206" s="50"/>
      <c r="D206" s="50"/>
    </row>
    <row r="207" spans="1:5" x14ac:dyDescent="0.2">
      <c r="A207" s="43"/>
      <c r="B207" s="49"/>
      <c r="C207" s="49"/>
      <c r="D207" s="49"/>
    </row>
    <row r="208" spans="1:5" ht="20.25" x14ac:dyDescent="0.25">
      <c r="A208" s="43"/>
      <c r="B208" s="51" t="s">
        <v>711</v>
      </c>
      <c r="C208" s="51" t="s">
        <v>712</v>
      </c>
      <c r="D208" s="52" t="s">
        <v>711</v>
      </c>
      <c r="E208" s="67" t="s">
        <v>712</v>
      </c>
    </row>
    <row r="209" spans="1:8" ht="44.25" x14ac:dyDescent="0.3">
      <c r="A209" s="43"/>
      <c r="B209" s="53" t="s">
        <v>713</v>
      </c>
      <c r="C209" s="53" t="s">
        <v>714</v>
      </c>
      <c r="D209" s="44" t="s">
        <v>713</v>
      </c>
      <c r="F209" s="66" t="str">
        <f>IF(NOT(ISBLANK(D209)),D209,IF(NOT(ISBLANK(E209)),"     "&amp;E209,FALSE))</f>
        <v>Afectación Económica o presupuestal</v>
      </c>
      <c r="G209" s="66" t="s">
        <v>713</v>
      </c>
      <c r="H209" s="66" t="str">
        <f>IF(NOT(ISERROR(MATCH(G209,_xlfn.ANCHORARRAY(B220),0))),F222&amp;"Por favor no seleccionar los criterios de impacto",G209)</f>
        <v>❌Por favor no seleccionar los criterios de impacto</v>
      </c>
    </row>
    <row r="210" spans="1:8" ht="44.25" x14ac:dyDescent="0.3">
      <c r="A210" s="43"/>
      <c r="B210" s="53" t="s">
        <v>713</v>
      </c>
      <c r="C210" s="53" t="s">
        <v>715</v>
      </c>
      <c r="E210" s="66" t="s">
        <v>714</v>
      </c>
      <c r="F210" s="66" t="str">
        <f t="shared" ref="F210:F220" si="0">IF(NOT(ISBLANK(D210)),D210,IF(NOT(ISBLANK(E210)),"     "&amp;E210,FALSE))</f>
        <v xml:space="preserve">     Afectación menor a 10 SMLMV .</v>
      </c>
    </row>
    <row r="211" spans="1:8" ht="30" x14ac:dyDescent="0.3">
      <c r="A211" s="43"/>
      <c r="B211" s="53" t="s">
        <v>713</v>
      </c>
      <c r="C211" s="53" t="s">
        <v>716</v>
      </c>
      <c r="E211" s="66" t="s">
        <v>715</v>
      </c>
      <c r="F211" s="66" t="str">
        <f t="shared" si="0"/>
        <v xml:space="preserve">     Entre 10 y 50 SMLMV </v>
      </c>
    </row>
    <row r="212" spans="1:8" ht="30" x14ac:dyDescent="0.3">
      <c r="A212" s="43"/>
      <c r="B212" s="53" t="s">
        <v>713</v>
      </c>
      <c r="C212" s="53" t="s">
        <v>717</v>
      </c>
      <c r="E212" s="66" t="s">
        <v>716</v>
      </c>
      <c r="F212" s="66" t="str">
        <f t="shared" si="0"/>
        <v xml:space="preserve">     Entre 50 y 100 SMLMV </v>
      </c>
    </row>
    <row r="213" spans="1:8" ht="30" x14ac:dyDescent="0.3">
      <c r="A213" s="43"/>
      <c r="B213" s="53" t="s">
        <v>713</v>
      </c>
      <c r="C213" s="53" t="s">
        <v>718</v>
      </c>
      <c r="E213" s="66" t="s">
        <v>717</v>
      </c>
      <c r="F213" s="66" t="str">
        <f t="shared" si="0"/>
        <v xml:space="preserve">     Entre 100 y 500 SMLMV </v>
      </c>
    </row>
    <row r="214" spans="1:8" ht="30" x14ac:dyDescent="0.3">
      <c r="A214" s="43"/>
      <c r="B214" s="53" t="s">
        <v>719</v>
      </c>
      <c r="C214" s="53" t="s">
        <v>720</v>
      </c>
      <c r="E214" s="66" t="s">
        <v>718</v>
      </c>
      <c r="F214" s="66" t="str">
        <f t="shared" si="0"/>
        <v xml:space="preserve">     Mayor a 500 SMLMV </v>
      </c>
    </row>
    <row r="215" spans="1:8" ht="20.25" x14ac:dyDescent="0.3">
      <c r="A215" s="43"/>
      <c r="B215" s="53" t="s">
        <v>719</v>
      </c>
      <c r="C215" s="53" t="s">
        <v>721</v>
      </c>
      <c r="D215" s="44" t="s">
        <v>719</v>
      </c>
      <c r="F215" s="66" t="str">
        <f t="shared" si="0"/>
        <v>Pérdida Reputacional</v>
      </c>
    </row>
    <row r="216" spans="1:8" ht="87" x14ac:dyDescent="0.3">
      <c r="A216" s="43"/>
      <c r="B216" s="53" t="s">
        <v>719</v>
      </c>
      <c r="C216" s="53" t="s">
        <v>722</v>
      </c>
      <c r="E216" s="66" t="s">
        <v>720</v>
      </c>
      <c r="F216" s="66" t="str">
        <f t="shared" si="0"/>
        <v xml:space="preserve">     El riesgo afecta la imagen de alguna área de la organización</v>
      </c>
    </row>
    <row r="217" spans="1:8" ht="186.75" x14ac:dyDescent="0.3">
      <c r="A217" s="43"/>
      <c r="B217" s="53" t="s">
        <v>719</v>
      </c>
      <c r="C217" s="53" t="s">
        <v>723</v>
      </c>
      <c r="E217" s="66" t="s">
        <v>721</v>
      </c>
      <c r="F217" s="66" t="str">
        <f t="shared" si="0"/>
        <v xml:space="preserve">     El riesgo afecta la imagen de la entidad internamente, de conocimiento general, nivel interno, de junta dircetiva y accionistas y/o de provedores</v>
      </c>
    </row>
    <row r="218" spans="1:8" ht="144" x14ac:dyDescent="0.3">
      <c r="A218" s="43"/>
      <c r="B218" s="53" t="s">
        <v>719</v>
      </c>
      <c r="C218" s="53" t="s">
        <v>724</v>
      </c>
      <c r="E218" s="66" t="s">
        <v>722</v>
      </c>
      <c r="F218" s="66" t="str">
        <f t="shared" si="0"/>
        <v xml:space="preserve">     El riesgo afecta la imagen de la entidad con algunos usuarios de relevancia frente al logro de los objetivos</v>
      </c>
    </row>
    <row r="219" spans="1:8" ht="185.25" x14ac:dyDescent="0.2">
      <c r="A219" s="43"/>
      <c r="B219" s="54"/>
      <c r="C219" s="54"/>
      <c r="E219" s="66" t="s">
        <v>723</v>
      </c>
      <c r="F219" s="66" t="str">
        <f t="shared" si="0"/>
        <v xml:space="preserve">     El riesgo afecta la imagen de de la entidad con efecto publicitario sostenido a nivel de sector administrativo, nivel departamental o municipal</v>
      </c>
    </row>
    <row r="220" spans="1:8" ht="128.25" x14ac:dyDescent="0.2">
      <c r="A220" s="43"/>
      <c r="B220" s="54" t="str" cm="1">
        <f t="array" ref="B220:B222">_xlfn.UNIQUE(Tabla1[[#All],[Criterios]])</f>
        <v>Criterios</v>
      </c>
      <c r="C220" s="54"/>
      <c r="E220" s="66" t="s">
        <v>724</v>
      </c>
      <c r="F220" s="66" t="str">
        <f t="shared" si="0"/>
        <v xml:space="preserve">     El riesgo afecta la imagen de la entidad a nivel nacional, con efecto publicitarios sostenible a nivel país</v>
      </c>
    </row>
    <row r="221" spans="1:8" x14ac:dyDescent="0.2">
      <c r="A221" s="43"/>
      <c r="B221" s="54" t="str">
        <v>Afectación Económica o presupuestal</v>
      </c>
      <c r="C221" s="54"/>
    </row>
    <row r="222" spans="1:8" x14ac:dyDescent="0.2">
      <c r="B222" s="54" t="str">
        <v>Pérdida Reputacional</v>
      </c>
      <c r="C222" s="54"/>
      <c r="F222" s="68" t="s">
        <v>725</v>
      </c>
    </row>
    <row r="223" spans="1:8" x14ac:dyDescent="0.2">
      <c r="B223" s="55"/>
      <c r="C223" s="55"/>
      <c r="F223" s="68" t="s">
        <v>726</v>
      </c>
    </row>
    <row r="224" spans="1:8" x14ac:dyDescent="0.2">
      <c r="B224" s="55"/>
      <c r="C224" s="55"/>
    </row>
    <row r="225" spans="2:4" x14ac:dyDescent="0.2">
      <c r="B225" s="55"/>
      <c r="C225" s="55"/>
    </row>
    <row r="226" spans="2:4" x14ac:dyDescent="0.2">
      <c r="B226" s="55"/>
      <c r="C226" s="55"/>
      <c r="D226" s="55"/>
    </row>
    <row r="227" spans="2:4" x14ac:dyDescent="0.2">
      <c r="B227" s="55"/>
      <c r="C227" s="55"/>
      <c r="D227" s="55"/>
    </row>
    <row r="228" spans="2:4" x14ac:dyDescent="0.2">
      <c r="B228" s="55"/>
      <c r="C228" s="55"/>
      <c r="D228" s="55"/>
    </row>
    <row r="229" spans="2:4" x14ac:dyDescent="0.2">
      <c r="B229" s="55"/>
      <c r="C229" s="55"/>
      <c r="D229" s="55"/>
    </row>
    <row r="230" spans="2:4" x14ac:dyDescent="0.2">
      <c r="B230" s="55"/>
      <c r="C230" s="55"/>
      <c r="D230" s="55"/>
    </row>
    <row r="231" spans="2:4" x14ac:dyDescent="0.2">
      <c r="B231" s="55"/>
      <c r="C231" s="55"/>
      <c r="D231" s="55"/>
    </row>
  </sheetData>
  <mergeCells count="11">
    <mergeCell ref="B2:D2"/>
    <mergeCell ref="E33:H33"/>
    <mergeCell ref="G6:H6"/>
    <mergeCell ref="F6:F7"/>
    <mergeCell ref="E6:E7"/>
    <mergeCell ref="E27:H27"/>
    <mergeCell ref="E28:H28"/>
    <mergeCell ref="E29:H29"/>
    <mergeCell ref="E30:H30"/>
    <mergeCell ref="E31:H31"/>
    <mergeCell ref="E32:H32"/>
  </mergeCells>
  <dataValidations disablePrompts="1" count="1">
    <dataValidation type="list" allowBlank="1" showInputMessage="1" showErrorMessage="1" sqref="G209" xr:uid="{00000000-0002-0000-0500-000000000000}">
      <formula1>$F$209:$F$220</formula1>
    </dataValidation>
  </dataValidations>
  <pageMargins left="0.7" right="0.7" top="0.75" bottom="0.75" header="0.3" footer="0.3"/>
  <pageSetup orientation="portrait"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17"/>
  <sheetViews>
    <sheetView workbookViewId="0">
      <selection activeCell="E8" sqref="E8"/>
    </sheetView>
  </sheetViews>
  <sheetFormatPr baseColWidth="10" defaultColWidth="14.28515625" defaultRowHeight="12.75" x14ac:dyDescent="0.2"/>
  <cols>
    <col min="1" max="2" width="14.28515625" style="56"/>
    <col min="3" max="3" width="19.5703125" style="56" customWidth="1"/>
    <col min="4" max="4" width="17.28515625" style="56" customWidth="1"/>
    <col min="5" max="5" width="46" style="56" customWidth="1"/>
    <col min="6" max="16384" width="14.28515625" style="56"/>
  </cols>
  <sheetData>
    <row r="1" spans="2:6" ht="13.5" thickBot="1" x14ac:dyDescent="0.25"/>
    <row r="2" spans="2:6" ht="24" customHeight="1" thickBot="1" x14ac:dyDescent="0.25">
      <c r="B2" s="506" t="s">
        <v>727</v>
      </c>
      <c r="C2" s="507"/>
      <c r="D2" s="507"/>
      <c r="E2" s="507"/>
      <c r="F2" s="508"/>
    </row>
    <row r="3" spans="2:6" ht="15.75" thickBot="1" x14ac:dyDescent="0.25">
      <c r="B3" s="57"/>
      <c r="C3" s="57"/>
      <c r="D3" s="57"/>
      <c r="E3" s="57"/>
      <c r="F3" s="57"/>
    </row>
    <row r="4" spans="2:6" ht="15.75" x14ac:dyDescent="0.2">
      <c r="B4" s="510" t="s">
        <v>728</v>
      </c>
      <c r="C4" s="511"/>
      <c r="D4" s="511"/>
      <c r="E4" s="116" t="s">
        <v>729</v>
      </c>
      <c r="F4" s="117" t="s">
        <v>730</v>
      </c>
    </row>
    <row r="5" spans="2:6" ht="30" x14ac:dyDescent="0.2">
      <c r="B5" s="512" t="s">
        <v>731</v>
      </c>
      <c r="C5" s="513" t="s">
        <v>97</v>
      </c>
      <c r="D5" s="114" t="s">
        <v>112</v>
      </c>
      <c r="E5" s="115" t="s">
        <v>732</v>
      </c>
      <c r="F5" s="118">
        <v>0.25</v>
      </c>
    </row>
    <row r="6" spans="2:6" ht="45" x14ac:dyDescent="0.2">
      <c r="B6" s="512"/>
      <c r="C6" s="513"/>
      <c r="D6" s="114" t="s">
        <v>133</v>
      </c>
      <c r="E6" s="115" t="s">
        <v>733</v>
      </c>
      <c r="F6" s="118">
        <v>0.15</v>
      </c>
    </row>
    <row r="7" spans="2:6" ht="15.75" x14ac:dyDescent="0.2">
      <c r="B7" s="512"/>
      <c r="C7" s="513"/>
      <c r="D7" s="114" t="s">
        <v>137</v>
      </c>
      <c r="E7" s="115" t="s">
        <v>734</v>
      </c>
      <c r="F7" s="119" t="s">
        <v>735</v>
      </c>
    </row>
    <row r="8" spans="2:6" ht="75" x14ac:dyDescent="0.2">
      <c r="B8" s="512"/>
      <c r="C8" s="513" t="s">
        <v>98</v>
      </c>
      <c r="D8" s="114" t="s">
        <v>206</v>
      </c>
      <c r="E8" s="115" t="s">
        <v>736</v>
      </c>
      <c r="F8" s="118">
        <v>0.25</v>
      </c>
    </row>
    <row r="9" spans="2:6" ht="30" x14ac:dyDescent="0.2">
      <c r="B9" s="512"/>
      <c r="C9" s="513"/>
      <c r="D9" s="114" t="s">
        <v>113</v>
      </c>
      <c r="E9" s="115" t="s">
        <v>737</v>
      </c>
      <c r="F9" s="118">
        <v>0.15</v>
      </c>
    </row>
    <row r="10" spans="2:6" ht="60" x14ac:dyDescent="0.2">
      <c r="B10" s="512" t="s">
        <v>738</v>
      </c>
      <c r="C10" s="513" t="s">
        <v>100</v>
      </c>
      <c r="D10" s="114" t="s">
        <v>119</v>
      </c>
      <c r="E10" s="115" t="s">
        <v>739</v>
      </c>
      <c r="F10" s="119" t="s">
        <v>735</v>
      </c>
    </row>
    <row r="11" spans="2:6" ht="60" x14ac:dyDescent="0.2">
      <c r="B11" s="512"/>
      <c r="C11" s="513"/>
      <c r="D11" s="114" t="s">
        <v>114</v>
      </c>
      <c r="E11" s="115" t="s">
        <v>740</v>
      </c>
      <c r="F11" s="119" t="s">
        <v>735</v>
      </c>
    </row>
    <row r="12" spans="2:6" ht="45" x14ac:dyDescent="0.2">
      <c r="B12" s="512"/>
      <c r="C12" s="513" t="s">
        <v>101</v>
      </c>
      <c r="D12" s="114" t="s">
        <v>115</v>
      </c>
      <c r="E12" s="115" t="s">
        <v>741</v>
      </c>
      <c r="F12" s="119" t="s">
        <v>735</v>
      </c>
    </row>
    <row r="13" spans="2:6" ht="45" x14ac:dyDescent="0.2">
      <c r="B13" s="512"/>
      <c r="C13" s="513"/>
      <c r="D13" s="114" t="s">
        <v>319</v>
      </c>
      <c r="E13" s="115" t="s">
        <v>742</v>
      </c>
      <c r="F13" s="119" t="s">
        <v>735</v>
      </c>
    </row>
    <row r="14" spans="2:6" ht="30" x14ac:dyDescent="0.2">
      <c r="B14" s="512"/>
      <c r="C14" s="513" t="s">
        <v>102</v>
      </c>
      <c r="D14" s="114" t="s">
        <v>134</v>
      </c>
      <c r="E14" s="115" t="s">
        <v>743</v>
      </c>
      <c r="F14" s="119" t="s">
        <v>735</v>
      </c>
    </row>
    <row r="15" spans="2:6" ht="30.75" thickBot="1" x14ac:dyDescent="0.25">
      <c r="B15" s="514"/>
      <c r="C15" s="515"/>
      <c r="D15" s="120" t="s">
        <v>116</v>
      </c>
      <c r="E15" s="121" t="s">
        <v>744</v>
      </c>
      <c r="F15" s="122" t="s">
        <v>735</v>
      </c>
    </row>
    <row r="16" spans="2:6" ht="49.5" customHeight="1" x14ac:dyDescent="0.2">
      <c r="B16" s="509" t="s">
        <v>745</v>
      </c>
      <c r="C16" s="509"/>
      <c r="D16" s="509"/>
      <c r="E16" s="509"/>
      <c r="F16" s="509"/>
    </row>
    <row r="17" spans="2:2" ht="27" customHeight="1" x14ac:dyDescent="0.2">
      <c r="B17" s="58"/>
    </row>
  </sheetData>
  <mergeCells count="10">
    <mergeCell ref="B2:F2"/>
    <mergeCell ref="B16:F16"/>
    <mergeCell ref="B4:D4"/>
    <mergeCell ref="B5:B9"/>
    <mergeCell ref="C5:C7"/>
    <mergeCell ref="C8:C9"/>
    <mergeCell ref="B10:B15"/>
    <mergeCell ref="C10:C11"/>
    <mergeCell ref="C12:C13"/>
    <mergeCell ref="C14:C1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E19"/>
  <sheetViews>
    <sheetView workbookViewId="0">
      <selection activeCell="B2" sqref="B2"/>
    </sheetView>
  </sheetViews>
  <sheetFormatPr baseColWidth="10" defaultColWidth="11.42578125" defaultRowHeight="15" x14ac:dyDescent="0.25"/>
  <sheetData>
    <row r="2" spans="2:5" x14ac:dyDescent="0.25">
      <c r="E2" t="s">
        <v>746</v>
      </c>
    </row>
    <row r="3" spans="2:5" x14ac:dyDescent="0.25">
      <c r="B3" t="s">
        <v>747</v>
      </c>
      <c r="E3" t="s">
        <v>748</v>
      </c>
    </row>
    <row r="4" spans="2:5" x14ac:dyDescent="0.25">
      <c r="B4" t="s">
        <v>749</v>
      </c>
      <c r="E4" t="s">
        <v>750</v>
      </c>
    </row>
    <row r="5" spans="2:5" x14ac:dyDescent="0.25">
      <c r="B5" t="s">
        <v>120</v>
      </c>
    </row>
    <row r="8" spans="2:5" x14ac:dyDescent="0.25">
      <c r="B8" t="s">
        <v>751</v>
      </c>
    </row>
    <row r="9" spans="2:5" x14ac:dyDescent="0.25">
      <c r="B9" t="s">
        <v>520</v>
      </c>
    </row>
    <row r="10" spans="2:5" x14ac:dyDescent="0.25">
      <c r="B10" t="s">
        <v>123</v>
      </c>
    </row>
    <row r="13" spans="2:5" x14ac:dyDescent="0.25">
      <c r="B13" t="s">
        <v>752</v>
      </c>
    </row>
    <row r="14" spans="2:5" x14ac:dyDescent="0.25">
      <c r="B14" t="s">
        <v>753</v>
      </c>
    </row>
    <row r="15" spans="2:5" x14ac:dyDescent="0.25">
      <c r="B15" t="s">
        <v>754</v>
      </c>
    </row>
    <row r="16" spans="2:5" x14ac:dyDescent="0.25">
      <c r="B16" t="s">
        <v>755</v>
      </c>
    </row>
    <row r="17" spans="2:2" x14ac:dyDescent="0.25">
      <c r="B17" t="s">
        <v>756</v>
      </c>
    </row>
    <row r="18" spans="2:2" x14ac:dyDescent="0.25">
      <c r="B18" t="s">
        <v>757</v>
      </c>
    </row>
    <row r="19" spans="2:2" x14ac:dyDescent="0.25">
      <c r="B19" t="s">
        <v>758</v>
      </c>
    </row>
  </sheetData>
  <sortState xmlns:xlrd2="http://schemas.microsoft.com/office/spreadsheetml/2017/richdata2" ref="B2:B5">
    <sortCondition ref="B2:B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M29"/>
  <sheetViews>
    <sheetView workbookViewId="0">
      <selection activeCell="A4" sqref="A4"/>
    </sheetView>
  </sheetViews>
  <sheetFormatPr baseColWidth="10" defaultColWidth="11.42578125" defaultRowHeight="12.75" x14ac:dyDescent="0.2"/>
  <cols>
    <col min="1" max="1" width="32.85546875" style="1" customWidth="1"/>
    <col min="2" max="16384" width="11.42578125" style="1"/>
  </cols>
  <sheetData>
    <row r="2" spans="1:13" x14ac:dyDescent="0.2">
      <c r="C2" s="61"/>
      <c r="D2" s="62" t="s">
        <v>759</v>
      </c>
      <c r="E2" s="61"/>
      <c r="F2" s="61"/>
      <c r="G2" s="61"/>
      <c r="H2" s="61"/>
      <c r="I2" s="61" t="s">
        <v>760</v>
      </c>
      <c r="J2" s="61"/>
      <c r="K2" s="61"/>
      <c r="L2" s="61"/>
      <c r="M2" s="61"/>
    </row>
    <row r="3" spans="1:13" x14ac:dyDescent="0.2">
      <c r="A3" s="2" t="s">
        <v>112</v>
      </c>
      <c r="C3" s="61">
        <v>1</v>
      </c>
      <c r="D3" s="61" t="s">
        <v>125</v>
      </c>
      <c r="E3" s="61"/>
      <c r="F3" s="61"/>
      <c r="G3" s="61"/>
      <c r="H3" s="61"/>
      <c r="I3" s="61" t="s">
        <v>109</v>
      </c>
      <c r="M3" s="61"/>
    </row>
    <row r="4" spans="1:13" x14ac:dyDescent="0.2">
      <c r="A4" s="2" t="s">
        <v>133</v>
      </c>
      <c r="C4" s="61">
        <v>2</v>
      </c>
      <c r="D4" s="61" t="s">
        <v>148</v>
      </c>
      <c r="E4" s="61"/>
      <c r="F4" s="61"/>
      <c r="G4" s="61"/>
      <c r="H4" s="61"/>
      <c r="I4" s="61" t="s">
        <v>130</v>
      </c>
      <c r="J4" s="61"/>
      <c r="K4" s="61"/>
      <c r="L4" s="61"/>
      <c r="M4" s="61"/>
    </row>
    <row r="5" spans="1:13" x14ac:dyDescent="0.2">
      <c r="A5" s="2"/>
      <c r="C5" s="61">
        <v>3</v>
      </c>
      <c r="D5" s="61" t="s">
        <v>161</v>
      </c>
      <c r="E5" s="61"/>
      <c r="F5" s="61"/>
      <c r="G5" s="61"/>
      <c r="H5" s="61"/>
      <c r="I5" s="61" t="s">
        <v>224</v>
      </c>
      <c r="J5" s="61"/>
      <c r="K5" s="61"/>
      <c r="L5" s="61"/>
      <c r="M5" s="61"/>
    </row>
    <row r="6" spans="1:13" x14ac:dyDescent="0.2">
      <c r="A6" s="2" t="s">
        <v>206</v>
      </c>
      <c r="C6" s="61">
        <v>4</v>
      </c>
      <c r="D6" s="61" t="s">
        <v>761</v>
      </c>
      <c r="E6" s="61"/>
      <c r="F6" s="61"/>
      <c r="G6" s="61"/>
      <c r="H6" s="61"/>
      <c r="I6" s="61" t="s">
        <v>181</v>
      </c>
      <c r="J6" s="61"/>
      <c r="K6" s="61"/>
      <c r="L6" s="61"/>
      <c r="M6" s="61"/>
    </row>
    <row r="7" spans="1:13" x14ac:dyDescent="0.2">
      <c r="A7" s="2" t="s">
        <v>113</v>
      </c>
      <c r="C7" s="61">
        <v>5</v>
      </c>
      <c r="D7" s="61" t="s">
        <v>104</v>
      </c>
      <c r="E7" s="61"/>
      <c r="F7" s="61"/>
      <c r="G7" s="61"/>
      <c r="H7" s="61"/>
      <c r="I7" s="61" t="s">
        <v>608</v>
      </c>
      <c r="J7" s="61"/>
      <c r="K7" s="61"/>
      <c r="L7" s="61"/>
      <c r="M7" s="61"/>
    </row>
    <row r="8" spans="1:13" x14ac:dyDescent="0.2">
      <c r="A8" s="2" t="s">
        <v>119</v>
      </c>
      <c r="C8" s="61">
        <v>6</v>
      </c>
      <c r="D8" s="61" t="s">
        <v>190</v>
      </c>
      <c r="E8" s="61"/>
      <c r="F8" s="61"/>
      <c r="G8" s="61"/>
      <c r="H8" s="61"/>
      <c r="I8" s="61"/>
      <c r="J8" s="61"/>
      <c r="K8" s="61"/>
      <c r="L8" s="61"/>
      <c r="M8" s="61"/>
    </row>
    <row r="9" spans="1:13" x14ac:dyDescent="0.2">
      <c r="A9" s="2" t="s">
        <v>114</v>
      </c>
      <c r="C9" s="61">
        <v>7</v>
      </c>
      <c r="D9" s="61" t="s">
        <v>201</v>
      </c>
      <c r="E9" s="61"/>
      <c r="F9" s="61"/>
      <c r="G9" s="61"/>
      <c r="H9" s="61"/>
      <c r="I9" s="61" t="s">
        <v>762</v>
      </c>
      <c r="J9" s="61"/>
      <c r="K9" s="61"/>
      <c r="L9" s="61"/>
      <c r="M9" s="61"/>
    </row>
    <row r="10" spans="1:13" x14ac:dyDescent="0.2">
      <c r="A10" s="2" t="s">
        <v>115</v>
      </c>
      <c r="C10" s="61">
        <v>8</v>
      </c>
      <c r="D10" s="61" t="s">
        <v>763</v>
      </c>
      <c r="E10" s="61"/>
      <c r="F10" s="61"/>
      <c r="G10" s="61"/>
      <c r="H10" s="61"/>
      <c r="I10" s="61" t="s">
        <v>214</v>
      </c>
      <c r="J10" s="61"/>
      <c r="K10" s="61"/>
      <c r="L10" s="61"/>
      <c r="M10" s="61"/>
    </row>
    <row r="11" spans="1:13" x14ac:dyDescent="0.2">
      <c r="A11" s="2" t="s">
        <v>319</v>
      </c>
      <c r="C11" s="61">
        <v>9</v>
      </c>
      <c r="D11" s="61" t="s">
        <v>220</v>
      </c>
      <c r="E11" s="61"/>
      <c r="F11" s="61"/>
      <c r="G11" s="61"/>
      <c r="H11" s="61"/>
      <c r="I11" s="61" t="s">
        <v>110</v>
      </c>
      <c r="J11" s="61"/>
      <c r="K11" s="61"/>
      <c r="L11" s="61"/>
      <c r="M11" s="61"/>
    </row>
    <row r="12" spans="1:13" x14ac:dyDescent="0.2">
      <c r="A12" s="2" t="s">
        <v>764</v>
      </c>
      <c r="C12" s="61">
        <v>10</v>
      </c>
      <c r="D12" s="61" t="s">
        <v>256</v>
      </c>
      <c r="E12" s="61"/>
      <c r="F12" s="61"/>
      <c r="G12" s="61"/>
      <c r="H12" s="61"/>
      <c r="I12" s="61" t="s">
        <v>131</v>
      </c>
      <c r="J12" s="61"/>
      <c r="K12" s="61"/>
      <c r="L12" s="61"/>
      <c r="M12" s="61"/>
    </row>
    <row r="13" spans="1:13" x14ac:dyDescent="0.2">
      <c r="A13" s="2" t="s">
        <v>765</v>
      </c>
      <c r="C13" s="61">
        <v>11</v>
      </c>
      <c r="D13" s="61" t="s">
        <v>446</v>
      </c>
      <c r="E13" s="61"/>
      <c r="F13" s="61"/>
      <c r="G13" s="61"/>
      <c r="H13" s="61"/>
      <c r="I13" s="61"/>
      <c r="J13" s="61"/>
      <c r="K13" s="61"/>
      <c r="L13" s="61"/>
      <c r="M13" s="61"/>
    </row>
    <row r="14" spans="1:13" x14ac:dyDescent="0.2">
      <c r="A14" s="2" t="s">
        <v>766</v>
      </c>
      <c r="C14" s="61">
        <v>12</v>
      </c>
      <c r="D14" s="61" t="s">
        <v>456</v>
      </c>
      <c r="E14" s="61"/>
      <c r="F14" s="61"/>
      <c r="G14" s="61"/>
      <c r="H14" s="61"/>
      <c r="I14" s="61"/>
      <c r="J14" s="61"/>
      <c r="K14" s="61"/>
      <c r="L14" s="61"/>
      <c r="M14" s="61"/>
    </row>
    <row r="15" spans="1:13" x14ac:dyDescent="0.2">
      <c r="C15" s="61">
        <v>13</v>
      </c>
      <c r="D15" s="61" t="s">
        <v>294</v>
      </c>
      <c r="E15" s="61"/>
      <c r="F15" s="61"/>
      <c r="G15" s="61"/>
      <c r="H15" s="61"/>
      <c r="I15" s="61"/>
      <c r="J15" s="61"/>
      <c r="K15" s="61"/>
      <c r="L15" s="61"/>
      <c r="M15" s="61"/>
    </row>
    <row r="16" spans="1:13" x14ac:dyDescent="0.2">
      <c r="A16" s="2" t="s">
        <v>767</v>
      </c>
      <c r="C16" s="61">
        <v>14</v>
      </c>
      <c r="D16" s="61" t="s">
        <v>314</v>
      </c>
      <c r="E16" s="61"/>
      <c r="F16" s="61"/>
      <c r="G16" s="61"/>
      <c r="H16" s="61"/>
      <c r="I16" s="61"/>
      <c r="J16" s="61"/>
      <c r="K16" s="61"/>
      <c r="L16" s="61"/>
      <c r="M16" s="61"/>
    </row>
    <row r="17" spans="1:13" x14ac:dyDescent="0.2">
      <c r="A17" s="2" t="s">
        <v>768</v>
      </c>
      <c r="C17" s="61">
        <v>15</v>
      </c>
      <c r="D17" s="61" t="s">
        <v>385</v>
      </c>
      <c r="E17" s="61"/>
      <c r="F17" s="61"/>
      <c r="G17" s="61"/>
      <c r="H17" s="61"/>
      <c r="I17" s="61"/>
      <c r="J17" s="61"/>
      <c r="K17" s="61"/>
      <c r="L17" s="61"/>
      <c r="M17" s="61"/>
    </row>
    <row r="18" spans="1:13" x14ac:dyDescent="0.2">
      <c r="A18" s="2" t="s">
        <v>747</v>
      </c>
      <c r="C18" s="61">
        <v>16</v>
      </c>
      <c r="D18" s="61" t="s">
        <v>359</v>
      </c>
      <c r="E18" s="61"/>
      <c r="F18" s="61"/>
      <c r="G18" s="61"/>
      <c r="H18" s="61"/>
      <c r="I18" s="61"/>
      <c r="J18" s="61"/>
      <c r="K18" s="61"/>
      <c r="L18" s="61"/>
      <c r="M18" s="61"/>
    </row>
    <row r="19" spans="1:13" x14ac:dyDescent="0.2">
      <c r="C19" s="61">
        <v>17</v>
      </c>
      <c r="D19" s="61" t="s">
        <v>405</v>
      </c>
      <c r="E19" s="61"/>
      <c r="F19" s="61"/>
      <c r="G19" s="61"/>
      <c r="H19" s="61"/>
      <c r="I19" s="61"/>
      <c r="J19" s="61"/>
      <c r="K19" s="61"/>
      <c r="L19" s="61"/>
      <c r="M19" s="61"/>
    </row>
    <row r="20" spans="1:13" x14ac:dyDescent="0.2">
      <c r="A20" s="2" t="s">
        <v>520</v>
      </c>
      <c r="C20" s="61"/>
      <c r="D20" s="61"/>
      <c r="E20" s="61"/>
      <c r="F20" s="61"/>
      <c r="G20" s="61"/>
      <c r="H20" s="61"/>
      <c r="I20" s="61"/>
      <c r="J20" s="61"/>
      <c r="K20" s="61"/>
      <c r="L20" s="61"/>
      <c r="M20" s="61"/>
    </row>
    <row r="21" spans="1:13" x14ac:dyDescent="0.2">
      <c r="A21" s="2" t="s">
        <v>123</v>
      </c>
      <c r="C21" s="61"/>
      <c r="D21" s="61"/>
      <c r="E21" s="61"/>
      <c r="F21" s="61"/>
      <c r="G21" s="61"/>
      <c r="H21" s="61"/>
      <c r="I21" s="61"/>
      <c r="J21" s="61"/>
      <c r="K21" s="61"/>
      <c r="L21" s="61"/>
      <c r="M21" s="61"/>
    </row>
    <row r="22" spans="1:13" x14ac:dyDescent="0.2">
      <c r="C22" s="61"/>
      <c r="D22" s="61"/>
      <c r="E22" s="61"/>
      <c r="F22" s="61"/>
      <c r="G22" s="61"/>
      <c r="H22" s="61"/>
      <c r="I22" s="61"/>
      <c r="J22" s="61"/>
      <c r="K22" s="61"/>
      <c r="L22" s="61"/>
      <c r="M22" s="61"/>
    </row>
    <row r="23" spans="1:13" x14ac:dyDescent="0.2">
      <c r="C23" s="61"/>
      <c r="D23" s="61"/>
      <c r="E23" s="61"/>
      <c r="F23" s="61"/>
      <c r="G23" s="61"/>
      <c r="H23" s="61"/>
      <c r="I23" s="61"/>
      <c r="J23" s="61"/>
      <c r="K23" s="61"/>
      <c r="L23" s="61"/>
      <c r="M23" s="61"/>
    </row>
    <row r="24" spans="1:13" x14ac:dyDescent="0.2">
      <c r="C24" s="61"/>
      <c r="D24" s="61"/>
      <c r="E24" s="61"/>
      <c r="F24" s="61"/>
      <c r="G24" s="61"/>
      <c r="H24" s="61"/>
      <c r="I24" s="61"/>
      <c r="J24" s="61"/>
      <c r="K24" s="61"/>
      <c r="L24" s="61"/>
      <c r="M24" s="61"/>
    </row>
    <row r="25" spans="1:13" x14ac:dyDescent="0.2">
      <c r="C25" s="61"/>
      <c r="D25" s="61"/>
      <c r="E25" s="61"/>
      <c r="F25" s="61"/>
      <c r="G25" s="61"/>
      <c r="H25" s="61"/>
      <c r="I25" s="61"/>
      <c r="J25" s="61"/>
      <c r="K25" s="61"/>
      <c r="L25" s="61"/>
      <c r="M25" s="61"/>
    </row>
    <row r="26" spans="1:13" x14ac:dyDescent="0.2">
      <c r="C26" s="61"/>
      <c r="D26" s="61"/>
      <c r="E26" s="61"/>
      <c r="F26" s="61"/>
      <c r="G26" s="61"/>
      <c r="H26" s="61"/>
      <c r="I26" s="61"/>
      <c r="J26" s="61"/>
      <c r="K26" s="61"/>
      <c r="L26" s="61"/>
      <c r="M26" s="61"/>
    </row>
    <row r="27" spans="1:13" x14ac:dyDescent="0.2">
      <c r="C27" s="61"/>
      <c r="D27" s="61"/>
      <c r="E27" s="61"/>
      <c r="F27" s="61"/>
      <c r="G27" s="61"/>
      <c r="H27" s="61"/>
      <c r="I27" s="61"/>
      <c r="J27" s="61"/>
      <c r="K27" s="61"/>
      <c r="L27" s="61"/>
      <c r="M27" s="61"/>
    </row>
    <row r="28" spans="1:13" x14ac:dyDescent="0.2">
      <c r="C28" s="61"/>
      <c r="D28" s="61"/>
      <c r="E28" s="61"/>
      <c r="F28" s="61"/>
      <c r="G28" s="61"/>
      <c r="H28" s="61"/>
      <c r="I28" s="61"/>
      <c r="J28" s="61"/>
      <c r="K28" s="61"/>
      <c r="L28" s="61"/>
      <c r="M28" s="61"/>
    </row>
    <row r="29" spans="1:13" x14ac:dyDescent="0.2">
      <c r="C29" s="61"/>
      <c r="D29" s="61"/>
      <c r="E29" s="61"/>
      <c r="F29" s="61"/>
      <c r="G29" s="61"/>
      <c r="H29" s="61"/>
      <c r="I29" s="61"/>
      <c r="J29" s="61"/>
      <c r="K29" s="61"/>
      <c r="L29" s="61"/>
      <c r="M29" s="61"/>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1f0e379-7964-4b79-92d4-b91dbe804f34">
      <Terms xmlns="http://schemas.microsoft.com/office/infopath/2007/PartnerControls"/>
    </lcf76f155ced4ddcb4097134ff3c332f>
    <TaxCatchAll xmlns="ddedff46-55c8-4efe-975a-85fa3223a5b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D43A318E24EF54DB3A98EBDA1860E36" ma:contentTypeVersion="14" ma:contentTypeDescription="Crear nuevo documento." ma:contentTypeScope="" ma:versionID="2145a2505712e12354f30ab3f4555bf6">
  <xsd:schema xmlns:xsd="http://www.w3.org/2001/XMLSchema" xmlns:xs="http://www.w3.org/2001/XMLSchema" xmlns:p="http://schemas.microsoft.com/office/2006/metadata/properties" xmlns:ns2="c1f0e379-7964-4b79-92d4-b91dbe804f34" xmlns:ns3="ddedff46-55c8-4efe-975a-85fa3223a5b2" targetNamespace="http://schemas.microsoft.com/office/2006/metadata/properties" ma:root="true" ma:fieldsID="0c2b824a06c0ff96cdb01ea2def3fa76" ns2:_="" ns3:_="">
    <xsd:import namespace="c1f0e379-7964-4b79-92d4-b91dbe804f34"/>
    <xsd:import namespace="ddedff46-55c8-4efe-975a-85fa3223a5b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f0e379-7964-4b79-92d4-b91dbe804f3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ddd7727a-dc5b-449a-b57c-945e9e7cad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edff46-55c8-4efe-975a-85fa3223a5b2"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3d8fa21-c482-4dcf-a5d5-443f4e30dec5}" ma:internalName="TaxCatchAll" ma:showField="CatchAllData" ma:web="ddedff46-55c8-4efe-975a-85fa3223a5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A12BCE6-EC4B-4645-AFDE-F6B7A28B77C9}">
  <ds:schemaRefs>
    <ds:schemaRef ds:uri="http://schemas.microsoft.com/sharepoint/v3/contenttype/forms"/>
  </ds:schemaRefs>
</ds:datastoreItem>
</file>

<file path=customXml/itemProps2.xml><?xml version="1.0" encoding="utf-8"?>
<ds:datastoreItem xmlns:ds="http://schemas.openxmlformats.org/officeDocument/2006/customXml" ds:itemID="{9637E5C6-9CDF-4F6A-AA60-11C2A7DD0BA3}">
  <ds:schemaRefs>
    <ds:schemaRef ds:uri="http://purl.org/dc/dcmitype/"/>
    <ds:schemaRef ds:uri="http://schemas.microsoft.com/office/2006/documentManagement/types"/>
    <ds:schemaRef ds:uri="http://purl.org/dc/elements/1.1/"/>
    <ds:schemaRef ds:uri="c1f0e379-7964-4b79-92d4-b91dbe804f34"/>
    <ds:schemaRef ds:uri="ddedff46-55c8-4efe-975a-85fa3223a5b2"/>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E943351E-95F3-4EDE-ACBD-7BDD8079363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f0e379-7964-4b79-92d4-b91dbe804f34"/>
    <ds:schemaRef ds:uri="ddedff46-55c8-4efe-975a-85fa3223a5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Instructivo</vt:lpstr>
      <vt:lpstr>Mapa final</vt:lpstr>
      <vt:lpstr>Hoja2</vt:lpstr>
      <vt:lpstr>Matriz Calor Inherente</vt:lpstr>
      <vt:lpstr>Matriz Calor Residual</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Carol Alexandra Campos Vieda</dc:creator>
  <cp:keywords/>
  <dc:description/>
  <cp:lastModifiedBy>Ana Giselly Martinez Montoya</cp:lastModifiedBy>
  <cp:revision/>
  <dcterms:created xsi:type="dcterms:W3CDTF">2020-03-24T23:12:47Z</dcterms:created>
  <dcterms:modified xsi:type="dcterms:W3CDTF">2025-10-22T14:54:11Z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299739c-ad3d-4908-806e-4d91151a6e13_Enabled">
    <vt:lpwstr>true</vt:lpwstr>
  </property>
  <property fmtid="{D5CDD505-2E9C-101B-9397-08002B2CF9AE}" pid="3" name="MSIP_Label_1299739c-ad3d-4908-806e-4d91151a6e13_SetDate">
    <vt:lpwstr>2022-11-21T15:02:05Z</vt:lpwstr>
  </property>
  <property fmtid="{D5CDD505-2E9C-101B-9397-08002B2CF9AE}" pid="4" name="MSIP_Label_1299739c-ad3d-4908-806e-4d91151a6e13_Method">
    <vt:lpwstr>Standard</vt:lpwstr>
  </property>
  <property fmtid="{D5CDD505-2E9C-101B-9397-08002B2CF9AE}" pid="5" name="MSIP_Label_1299739c-ad3d-4908-806e-4d91151a6e13_Name">
    <vt:lpwstr>All Employees (Unrestricted)</vt:lpwstr>
  </property>
  <property fmtid="{D5CDD505-2E9C-101B-9397-08002B2CF9AE}" pid="6" name="MSIP_Label_1299739c-ad3d-4908-806e-4d91151a6e13_SiteId">
    <vt:lpwstr>cbc2c381-2f2e-4d93-91d1-506c9316ace7</vt:lpwstr>
  </property>
  <property fmtid="{D5CDD505-2E9C-101B-9397-08002B2CF9AE}" pid="7" name="MSIP_Label_1299739c-ad3d-4908-806e-4d91151a6e13_ActionId">
    <vt:lpwstr>0a9216dc-86e8-45b5-bd7e-000299178c1a</vt:lpwstr>
  </property>
  <property fmtid="{D5CDD505-2E9C-101B-9397-08002B2CF9AE}" pid="8" name="MSIP_Label_1299739c-ad3d-4908-806e-4d91151a6e13_ContentBits">
    <vt:lpwstr>0</vt:lpwstr>
  </property>
  <property fmtid="{D5CDD505-2E9C-101B-9397-08002B2CF9AE}" pid="9" name="ContentTypeId">
    <vt:lpwstr>0x010100FD43A318E24EF54DB3A98EBDA1860E36</vt:lpwstr>
  </property>
  <property fmtid="{D5CDD505-2E9C-101B-9397-08002B2CF9AE}" pid="10" name="MediaServiceImageTags">
    <vt:lpwstr/>
  </property>
</Properties>
</file>