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2.xml" ContentType="application/vnd.openxmlformats-officedocument.spreadsheetml.pivotTab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ivotTables/pivotTable3.xml" ContentType="application/vnd.openxmlformats-officedocument.spreadsheetml.pivotTab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pivotTables/pivotTable4.xml" ContentType="application/vnd.openxmlformats-officedocument.spreadsheetml.pivotTable+xml"/>
  <Override PartName="/xl/pivotTables/pivotTable5.xml" ContentType="application/vnd.openxmlformats-officedocument.spreadsheetml.pivotTable+xml"/>
  <Override PartName="/xl/drawings/drawing5.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hidePivotFieldList="1" defaultThemeVersion="202300"/>
  <mc:AlternateContent xmlns:mc="http://schemas.openxmlformats.org/markup-compatibility/2006">
    <mc:Choice Requires="x15">
      <x15ac:absPath xmlns:x15ac="http://schemas.microsoft.com/office/spreadsheetml/2010/11/ac" url="\\fileserversan\Publica\320-DIRCON\PLAN ANUAL DE COMPRAS Y ADQUISICIONES\2025\VERSIONES WEB\"/>
    </mc:Choice>
  </mc:AlternateContent>
  <xr:revisionPtr revIDLastSave="0" documentId="8_{229C8AAB-FA51-467B-9550-B556DC8C67A2}" xr6:coauthVersionLast="47" xr6:coauthVersionMax="47" xr10:uidLastSave="{00000000-0000-0000-0000-000000000000}"/>
  <bookViews>
    <workbookView xWindow="-120" yWindow="-120" windowWidth="29040" windowHeight="15720" xr2:uid="{5CB1EADA-6E5B-4A60-8498-225BD100AF88}"/>
  </bookViews>
  <sheets>
    <sheet name="PAA 2025 FEBRERO 14" sheetId="1" r:id="rId1"/>
    <sheet name="GENERAL" sheetId="3" r:id="rId2"/>
    <sheet name="DEPENDENCIAS" sheetId="7" r:id="rId3"/>
    <sheet name="MES" sheetId="5" r:id="rId4"/>
    <sheet name="VALORES" sheetId="10" r:id="rId5"/>
    <sheet name="MODALIDAD" sheetId="11" r:id="rId6"/>
    <sheet name="ALERTAS" sheetId="4" state="hidden" r:id="rId7"/>
  </sheets>
  <externalReferences>
    <externalReference r:id="rId8"/>
  </externalReferences>
  <definedNames>
    <definedName name="_xlnm._FilterDatabase" localSheetId="6" hidden="1">ALERTAS!$A$1:$J$83</definedName>
    <definedName name="_xlnm._FilterDatabase" localSheetId="0" hidden="1">'PAA 2025 FEBRERO 14'!$A$3:$AQ$177</definedName>
    <definedName name="_xlnm.Print_Area" localSheetId="6">ALERTAS!$A$1:$J$98</definedName>
  </definedNames>
  <calcPr calcId="191029"/>
  <pivotCaches>
    <pivotCache cacheId="526" r:id="rId9"/>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77" i="1" l="1"/>
  <c r="AQ76" i="1"/>
  <c r="AQ74" i="1"/>
  <c r="AQ73" i="1"/>
  <c r="AQ72" i="1"/>
  <c r="AQ71" i="1"/>
  <c r="AQ62" i="1"/>
  <c r="AQ54" i="1"/>
  <c r="AQ52" i="1"/>
  <c r="AQ50" i="1"/>
  <c r="AQ45" i="1"/>
  <c r="AQ44" i="1"/>
  <c r="AQ41" i="1"/>
  <c r="AQ39" i="1"/>
  <c r="AQ30" i="1"/>
  <c r="AQ29" i="1"/>
  <c r="AQ24" i="1"/>
  <c r="AQ5" i="1"/>
  <c r="AQ6" i="1"/>
  <c r="AQ7" i="1"/>
  <c r="AQ8" i="1"/>
  <c r="AQ9" i="1"/>
  <c r="AQ10" i="1"/>
  <c r="AQ35" i="1"/>
  <c r="AQ36" i="1"/>
  <c r="AQ47" i="1"/>
  <c r="AQ49" i="1"/>
  <c r="AQ57" i="1"/>
  <c r="AQ58" i="1"/>
  <c r="AQ108" i="1"/>
  <c r="AQ109" i="1"/>
  <c r="AQ110" i="1"/>
  <c r="AQ111" i="1"/>
  <c r="AQ123" i="1"/>
  <c r="AQ4" i="1"/>
  <c r="AO177" i="1"/>
  <c r="AO176" i="1"/>
  <c r="AO175" i="1"/>
  <c r="AO174" i="1"/>
  <c r="AO173" i="1"/>
  <c r="AO172" i="1"/>
  <c r="AO171" i="1"/>
  <c r="AO170" i="1"/>
  <c r="AO169" i="1"/>
  <c r="AO168" i="1"/>
  <c r="AO167" i="1"/>
  <c r="AO166" i="1"/>
  <c r="AO165" i="1"/>
  <c r="AO164" i="1"/>
  <c r="AO163" i="1"/>
  <c r="AO162" i="1"/>
  <c r="AO161" i="1"/>
  <c r="AO160" i="1"/>
  <c r="AO159" i="1"/>
  <c r="AO158" i="1"/>
  <c r="AO157" i="1"/>
  <c r="AO156" i="1"/>
  <c r="AO155" i="1"/>
  <c r="AO154" i="1"/>
  <c r="AO153" i="1"/>
  <c r="AO152" i="1"/>
  <c r="AO151" i="1"/>
  <c r="AO150" i="1"/>
  <c r="AO149" i="1"/>
  <c r="AO148" i="1"/>
  <c r="AO147" i="1"/>
  <c r="AO146" i="1"/>
  <c r="AO145" i="1"/>
  <c r="AO144" i="1"/>
  <c r="AO143" i="1"/>
  <c r="AO142" i="1"/>
  <c r="AO141" i="1"/>
  <c r="AO140" i="1"/>
  <c r="AO139" i="1"/>
  <c r="AO138" i="1"/>
  <c r="AO137" i="1"/>
  <c r="AO136" i="1"/>
  <c r="AO135" i="1"/>
  <c r="AO134" i="1"/>
  <c r="AO133" i="1"/>
  <c r="AO132" i="1"/>
  <c r="AO131" i="1"/>
  <c r="AO130" i="1"/>
  <c r="AO129" i="1"/>
  <c r="AO128" i="1"/>
  <c r="AO127" i="1"/>
  <c r="AO126" i="1"/>
  <c r="AO125" i="1"/>
  <c r="AO124" i="1"/>
  <c r="AO123" i="1"/>
  <c r="AO122" i="1"/>
  <c r="AO121" i="1"/>
  <c r="AO120" i="1"/>
  <c r="AO119" i="1"/>
  <c r="AO118" i="1"/>
  <c r="AO117" i="1"/>
  <c r="AO116" i="1"/>
  <c r="AO115" i="1"/>
  <c r="AO114" i="1"/>
  <c r="AO113" i="1"/>
  <c r="AO112" i="1"/>
  <c r="AO111" i="1"/>
  <c r="AO110" i="1"/>
  <c r="AO109" i="1"/>
  <c r="AO108" i="1"/>
  <c r="AO107" i="1"/>
  <c r="AO106" i="1"/>
  <c r="AO105" i="1"/>
  <c r="AO104" i="1"/>
  <c r="AO103" i="1"/>
  <c r="AO102" i="1"/>
  <c r="AO101" i="1"/>
  <c r="AO100" i="1"/>
  <c r="AO99" i="1"/>
  <c r="AO98" i="1"/>
  <c r="AO97" i="1"/>
  <c r="AO96" i="1"/>
  <c r="AO95" i="1"/>
  <c r="AO94" i="1"/>
  <c r="AO93" i="1"/>
  <c r="AO92" i="1"/>
  <c r="AO91" i="1"/>
  <c r="AO90" i="1"/>
  <c r="AO89" i="1"/>
  <c r="AO88" i="1"/>
  <c r="AO87" i="1"/>
  <c r="AO86" i="1"/>
  <c r="AO85" i="1"/>
  <c r="AO84" i="1"/>
  <c r="AO83" i="1"/>
  <c r="AO82" i="1"/>
  <c r="AO81" i="1"/>
  <c r="AO80" i="1"/>
  <c r="AO79" i="1"/>
  <c r="AO78" i="1"/>
  <c r="AO77" i="1"/>
  <c r="AO76" i="1"/>
  <c r="AO75" i="1"/>
  <c r="AO74" i="1"/>
  <c r="AO73" i="1"/>
  <c r="AO72" i="1"/>
  <c r="AO71" i="1"/>
  <c r="AO70" i="1"/>
  <c r="AO69" i="1"/>
  <c r="AO68" i="1"/>
  <c r="AO67" i="1"/>
  <c r="AO66" i="1"/>
  <c r="AO65" i="1"/>
  <c r="AO64" i="1"/>
  <c r="AO63" i="1"/>
  <c r="AO62" i="1"/>
  <c r="AO61" i="1"/>
  <c r="AO55" i="1"/>
  <c r="AO54" i="1"/>
  <c r="AO53" i="1"/>
  <c r="AO52" i="1"/>
  <c r="AO51" i="1"/>
  <c r="AO50" i="1"/>
  <c r="AO49" i="1"/>
  <c r="AO48" i="1"/>
  <c r="AO47" i="1"/>
  <c r="AO46" i="1"/>
  <c r="AO45" i="1"/>
  <c r="AO44" i="1"/>
  <c r="AO43" i="1"/>
  <c r="AO42" i="1"/>
  <c r="AO41" i="1"/>
  <c r="AO40" i="1"/>
  <c r="AO39" i="1"/>
  <c r="AO38" i="1"/>
  <c r="AO37" i="1"/>
  <c r="AO36" i="1"/>
  <c r="AO35" i="1"/>
  <c r="AO34" i="1"/>
  <c r="AO33" i="1"/>
  <c r="AO32" i="1"/>
  <c r="AO31" i="1"/>
  <c r="AO29" i="1"/>
  <c r="AO28" i="1"/>
  <c r="AO27" i="1"/>
  <c r="AO26" i="1"/>
  <c r="AO25" i="1"/>
  <c r="AO24" i="1"/>
  <c r="AO23" i="1"/>
  <c r="AO22" i="1"/>
  <c r="AO21" i="1"/>
  <c r="AO20" i="1"/>
  <c r="AO19" i="1"/>
  <c r="AO18" i="1"/>
  <c r="AO17" i="1"/>
  <c r="AO16" i="1"/>
  <c r="AO15" i="1"/>
  <c r="AO14" i="1"/>
  <c r="AO13" i="1"/>
  <c r="AO12" i="1"/>
  <c r="AO11" i="1"/>
  <c r="AO10" i="1"/>
  <c r="AO9" i="1"/>
  <c r="AO8" i="1"/>
  <c r="AO7" i="1"/>
  <c r="AO6" i="1"/>
  <c r="AO5" i="1"/>
  <c r="AO4" i="1"/>
  <c r="X101" i="1"/>
  <c r="X60" i="1"/>
  <c r="W60" i="1"/>
  <c r="AO60" i="1" s="1"/>
  <c r="X59" i="1"/>
  <c r="W59" i="1"/>
  <c r="AO59" i="1" s="1"/>
  <c r="X58" i="1"/>
  <c r="W58" i="1"/>
  <c r="AO58" i="1" s="1"/>
  <c r="X57" i="1"/>
  <c r="W57" i="1"/>
  <c r="AO57" i="1" s="1"/>
  <c r="X56" i="1"/>
  <c r="W56" i="1"/>
  <c r="AO56" i="1" s="1"/>
  <c r="N44" i="1"/>
  <c r="X30" i="1"/>
  <c r="W30" i="1"/>
  <c r="AO30" i="1" s="1"/>
  <c r="N30" i="1"/>
  <c r="E17" i="10"/>
  <c r="E16" i="10"/>
  <c r="E38" i="10"/>
  <c r="E37" i="10"/>
  <c r="E36" i="10"/>
  <c r="E35" i="10"/>
  <c r="E34" i="10"/>
  <c r="E33" i="10"/>
  <c r="E32" i="10"/>
  <c r="E31" i="10"/>
  <c r="E30" i="10"/>
  <c r="F28" i="10"/>
  <c r="F27" i="10"/>
  <c r="F26" i="10"/>
  <c r="F25" i="10"/>
  <c r="F24" i="10"/>
  <c r="F23" i="10"/>
  <c r="F22" i="10"/>
  <c r="F21" i="10"/>
  <c r="F20" i="10"/>
  <c r="F19" i="10"/>
  <c r="F18" i="10"/>
  <c r="F17" i="10"/>
  <c r="F16" i="10"/>
  <c r="F15" i="10"/>
  <c r="F14" i="10"/>
  <c r="F13" i="10"/>
  <c r="F12" i="10"/>
  <c r="F11" i="10"/>
  <c r="F10" i="10"/>
  <c r="F9" i="10"/>
  <c r="F8" i="10"/>
  <c r="F7" i="10"/>
  <c r="F6" i="10"/>
  <c r="F5" i="10"/>
  <c r="F4" i="10"/>
  <c r="E28" i="10"/>
  <c r="E27" i="10"/>
  <c r="E26" i="10"/>
  <c r="E25" i="10"/>
  <c r="E24" i="10"/>
  <c r="E23" i="10"/>
  <c r="E22" i="10"/>
  <c r="E21" i="10"/>
  <c r="E20" i="10"/>
  <c r="E19" i="10"/>
  <c r="E18" i="10"/>
  <c r="E15" i="10"/>
  <c r="E14" i="10"/>
  <c r="E13" i="10"/>
  <c r="E12" i="10"/>
  <c r="E11" i="10"/>
  <c r="E10" i="10"/>
  <c r="E9" i="10"/>
  <c r="E8" i="10"/>
  <c r="E7" i="10"/>
  <c r="E6" i="10"/>
  <c r="E5" i="10"/>
  <c r="E4" i="10"/>
  <c r="J12" i="5"/>
  <c r="J11" i="5"/>
  <c r="J10" i="5"/>
  <c r="J9" i="5"/>
  <c r="J8" i="5"/>
  <c r="J7" i="5"/>
  <c r="J6" i="5"/>
  <c r="J5" i="5"/>
  <c r="I12" i="5"/>
  <c r="I11" i="5"/>
  <c r="I10" i="5"/>
  <c r="I9" i="5"/>
  <c r="I8" i="5"/>
  <c r="I7" i="5"/>
  <c r="I6" i="5"/>
  <c r="I5" i="5"/>
  <c r="J30" i="7"/>
  <c r="J29" i="7"/>
  <c r="J28" i="7"/>
  <c r="J27" i="7"/>
  <c r="J26" i="7"/>
  <c r="J25" i="7"/>
  <c r="J24" i="7"/>
  <c r="J23" i="7"/>
  <c r="J22" i="7"/>
  <c r="J21" i="7"/>
  <c r="J20" i="7"/>
  <c r="J19" i="7"/>
  <c r="J18" i="7"/>
  <c r="J17" i="7"/>
  <c r="J16" i="7"/>
  <c r="J15" i="7"/>
  <c r="J14" i="7"/>
  <c r="J13" i="7"/>
  <c r="J12" i="7"/>
  <c r="J11" i="7"/>
  <c r="J10" i="7"/>
  <c r="J9" i="7"/>
  <c r="J8" i="7"/>
  <c r="J7" i="7"/>
  <c r="J6" i="7"/>
  <c r="J5" i="7"/>
  <c r="I30" i="7"/>
  <c r="I29" i="7"/>
  <c r="I28" i="7"/>
  <c r="I27" i="7"/>
  <c r="I26" i="7"/>
  <c r="I25" i="7"/>
  <c r="I24" i="7"/>
  <c r="I23" i="7"/>
  <c r="I22" i="7"/>
  <c r="I21" i="7"/>
  <c r="I20" i="7"/>
  <c r="I19" i="7"/>
  <c r="I18" i="7"/>
  <c r="I17" i="7"/>
  <c r="I16" i="7"/>
  <c r="I15" i="7"/>
  <c r="I14" i="7"/>
  <c r="I13" i="7"/>
  <c r="I12" i="7"/>
  <c r="I11" i="7"/>
  <c r="I10" i="7"/>
  <c r="I9" i="7"/>
  <c r="I8" i="7"/>
  <c r="I7" i="7"/>
  <c r="I6" i="7"/>
  <c r="I5" i="7"/>
  <c r="G17" i="3"/>
  <c r="G16" i="3"/>
  <c r="G11" i="3"/>
  <c r="G10" i="3"/>
  <c r="G4" i="3"/>
  <c r="G5" i="3"/>
  <c r="E3" i="10" l="1"/>
  <c r="F3" i="10"/>
  <c r="G12" i="3"/>
  <c r="H10" i="3" s="1"/>
  <c r="G18" i="3"/>
  <c r="H16" i="3" s="1"/>
  <c r="G6" i="3"/>
  <c r="H5" i="3" s="1"/>
  <c r="H11" i="3" l="1"/>
  <c r="H12" i="3" s="1"/>
  <c r="H4" i="3"/>
  <c r="H6" i="3" s="1"/>
  <c r="H17" i="3"/>
  <c r="H18" i="3"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4BF61622-384B-4ADE-AB0A-F31C45E40FAC}" keepAlive="1" name="PAAASIGNADOS" type="5" refreshedVersion="8" background="1">
    <dbPr connection="Provider=MSOLAP.8;Integrated Security=ClaimsToken;Persist Security Info=True;Initial Catalog=sobe_wowvirtualserver-26048b5b-46f2-4e63-a1c1-b7e66539a9bd;Data Source=pbiazure://api.powerbi.com;MDX Compatibility=1;Safety Options=2;MDX Missing Member Mode=Error;Identity Provider=https://login.microsoftonline.com/common, https://analysis.windows.net/powerbi/api, 929d0ec0-7a41-4b1e-bc7c-b754a28bddcc;Update Isolation Level=2" command="Model" commandType="1"/>
    <olapPr rowDrillCount="1000"/>
  </connection>
</connections>
</file>

<file path=xl/sharedStrings.xml><?xml version="1.0" encoding="utf-8"?>
<sst xmlns="http://schemas.openxmlformats.org/spreadsheetml/2006/main" count="5256" uniqueCount="690">
  <si>
    <t>PLAN ANUAL DE COMPRAS Y ADQUISICIONES
Proceso de Gestión Contractual</t>
  </si>
  <si>
    <r>
      <rPr>
        <b/>
        <sz val="11"/>
        <color theme="1"/>
        <rFont val="Arial"/>
        <family val="2"/>
      </rPr>
      <t>CÓDIGO:</t>
    </r>
    <r>
      <rPr>
        <sz val="11"/>
        <color theme="1"/>
        <rFont val="Arial"/>
        <family val="2"/>
      </rPr>
      <t xml:space="preserve"> FO-GC-017
</t>
    </r>
    <r>
      <rPr>
        <b/>
        <sz val="11"/>
        <color theme="1"/>
        <rFont val="Arial"/>
        <family val="2"/>
      </rPr>
      <t>VERSIÓN:</t>
    </r>
    <r>
      <rPr>
        <sz val="11"/>
        <color theme="1"/>
        <rFont val="Arial"/>
        <family val="2"/>
      </rPr>
      <t xml:space="preserve"> 4
</t>
    </r>
    <r>
      <rPr>
        <b/>
        <sz val="11"/>
        <color theme="1"/>
        <rFont val="Arial"/>
        <family val="2"/>
      </rPr>
      <t>FECHA:</t>
    </r>
    <r>
      <rPr>
        <sz val="11"/>
        <color theme="1"/>
        <rFont val="Arial"/>
        <family val="2"/>
      </rPr>
      <t xml:space="preserve"> 08/01/2025
</t>
    </r>
    <r>
      <rPr>
        <b/>
        <sz val="11"/>
        <color theme="1"/>
        <rFont val="Arial"/>
        <family val="2"/>
      </rPr>
      <t>Página:</t>
    </r>
    <r>
      <rPr>
        <sz val="11"/>
        <color theme="1"/>
        <rFont val="Arial"/>
        <family val="2"/>
      </rPr>
      <t xml:space="preserve"> 1 de 1</t>
    </r>
  </si>
  <si>
    <t>Macrometa
Dimensión Plataforma Estratégica</t>
  </si>
  <si>
    <t>Objetivo Estratégico</t>
  </si>
  <si>
    <t>Linea Presupuesto</t>
  </si>
  <si>
    <t>Linea Plan Contratación</t>
  </si>
  <si>
    <t>Tipo de proyecto
1. Plan de contratación
2.Transferencias
3. Cuentas por pagar
4. Caja menor
5.Vigencia actual
6. Vigencia futura</t>
  </si>
  <si>
    <t>Tipo de negocio</t>
  </si>
  <si>
    <t>Cuenta presupuestal</t>
  </si>
  <si>
    <t>Nombre cuenta presupuestal</t>
  </si>
  <si>
    <t>Sub nombre cuenta presupuestal</t>
  </si>
  <si>
    <t>Área</t>
  </si>
  <si>
    <t xml:space="preserve">Código del área </t>
  </si>
  <si>
    <t xml:space="preserve">Nombre del área </t>
  </si>
  <si>
    <t xml:space="preserve">Total  de presupuesto de la linea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</si>
  <si>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</si>
  <si>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</si>
  <si>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</si>
  <si>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</si>
  <si>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</si>
  <si>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</si>
  <si>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Formas de contratación
a. Orden de Servicio o Compra
b. Contratación Directa
c. Contratación Expedita 
d. Subasta inversa
e. Convocatoria Publica 
f. Adquisición a través de los mecanismos de agregación de demanda</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</si>
  <si>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</si>
  <si>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</si>
  <si>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</si>
  <si>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</si>
  <si>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</si>
  <si>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</si>
  <si>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</si>
  <si>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 persona responsable </t>
  </si>
  <si>
    <t xml:space="preserve">Teléfono de persona responsable </t>
  </si>
  <si>
    <t xml:space="preserve">Correo electrónico de persona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</si>
  <si>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</si>
  <si>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</si>
  <si>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</si>
  <si>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</si>
  <si>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Dimensión Procesos_
Inventario de activos y portafolios administrados por la SAE actualizados</t>
  </si>
  <si>
    <t>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</si>
  <si>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2025LG137</t>
  </si>
  <si>
    <t>LP-01 APOYO A LA GESTIÓN DE LOS PROCESOS A CARGO DE PRESIDENCIA</t>
  </si>
  <si>
    <t>1. Plan de Contratación</t>
  </si>
  <si>
    <t>GASTOS OPERACIONALES</t>
  </si>
  <si>
    <t>A-8-3-9-10-01</t>
  </si>
  <si>
    <t>HONORARIOS VARIOS INCAUTADO</t>
  </si>
  <si>
    <t>DESPACHO PRESIDENCIA</t>
  </si>
  <si>
    <t>PRESTAR SERVICIOS PROFESIONALES, CON AUTONOMÍA TÉCNICA Y ADMINISTRATIVA, A LA SOCIEDAD DE ACTIVOS ESPECIALES, PARA GENERAR ESPACIOS DE COORDINACIÓN CON LOS DIFERENTES ENTES DE CONTROL Y ENTIDADES EXTERNAS.</t>
  </si>
  <si>
    <t>ENERO</t>
  </si>
  <si>
    <t xml:space="preserve">DIAS </t>
  </si>
  <si>
    <t>b. Contratación Directa</t>
  </si>
  <si>
    <t xml:space="preserve">FRISCO </t>
  </si>
  <si>
    <t>NO</t>
  </si>
  <si>
    <t>DESPACHO DEL PRESIDENTE</t>
  </si>
  <si>
    <t>CO-DC-11001</t>
  </si>
  <si>
    <t>AMELIA PEREZ PARRA</t>
  </si>
  <si>
    <t>amperez@saesas.gov.co</t>
  </si>
  <si>
    <t>SI</t>
  </si>
  <si>
    <t>Diseñar, desarrollar e implementar la estrategia de transición digital que propenda por la transparencia y adecuada administración de los activos.</t>
  </si>
  <si>
    <t>PRESTAR SERVICIOS PROFESIONALES EXPERTOS CON AUTONOMÍA TÉCNICA Y ADMINISTRATIVA, PARA ASESORAR Y HACER SEGUIMIENTO A LAS ACTIVIDADES RELACIONADAS CON LA PLANEACION, CREACION Y DIFUSION DE CONTENIDOS PERIODISTICOS Y DE DIULGACION, DE ACUERDO CON EL PROCESO DE COMUNICACION ESTRATEGICA DE LA SAE.</t>
  </si>
  <si>
    <t>PRESTAR SERVICIOS PROFESIONALES CON AUTONOMÍA TÉCNICA Y ADMINISTRATIVA, PARA LA ELABORACIÓN DE CONCEPTOS, ASÍ COMO LA ESTRUCTURACIÓN DE RESPUESTAS A LOS DIFERENTES REQUERIMIENTOS Y PETICIONES PRESENTADAS ANTE LA SOCIEDAD DE ACTIVOS ESPECIALES</t>
  </si>
  <si>
    <t>FEBRERO</t>
  </si>
  <si>
    <t xml:space="preserve">PRESTAR SERVICIOS PROFESIONALES CON AUTONOMÍA TÉCNICA Y ADMINISTRATIVA, PARA BRINDAR ASESORÍA EN TEMAS RELACIONADOS CON LA MITIGACIÓN DE LOS RIESGOS EMPRESARIALES JURÍDICOS DERIVADOS DE LA NATURALEZA JURÍDICA DE LA SAE S.A.S Y EN SU CONDICIÓN DE ADMINISTRADOR DEL FONDO PARA LA REHABILITACIÓN SOCIAL Y LUCHA CONTRA EL CRIMEN ORGANIZADO – FRISCO. </t>
  </si>
  <si>
    <t>a. Orden de Servicio o Compra</t>
  </si>
  <si>
    <t>2025LG175</t>
  </si>
  <si>
    <t>LP-01 GASTOS HONORARIOS ASESORIAS EXTINTAS</t>
  </si>
  <si>
    <t xml:space="preserve">GASTOS DE PERSONAL </t>
  </si>
  <si>
    <t>A-1-0-2-12-01</t>
  </si>
  <si>
    <t>HONORARIOS ADMINISTRATIVOS EXTINTO</t>
  </si>
  <si>
    <t>DIRECCCIÓN DE GOBIERNO, CONTROL Y DEMOCRATIZACIÓN DE SOCIEDADES</t>
  </si>
  <si>
    <t>PRESTAR SERVICIOS PROFESIONALES DE ASESORÍA CONTABLE, FINANCIERA, ADMINISTRATIVA Y TRIBUTARIA INTEGRAL PARA EL EJERCICIO DEL CONTROL Y SUPERVISIÓN QUE LA VICEPRESIDENCIA DE SOCIEDADES DEBE EJERCER SOBRE LOS BIENES, HABERES Y NEGOCIOS DE SOCIEDADES, ESTABLECIMIENTOS DE COMERCIO O UNIDADES DE EXPLOTACIÓN</t>
  </si>
  <si>
    <t xml:space="preserve">MARZO </t>
  </si>
  <si>
    <t>MESES</t>
  </si>
  <si>
    <t>FRISCO</t>
  </si>
  <si>
    <t>NICOLAS RIOS GONZALEZ</t>
  </si>
  <si>
    <t>nirios@saesas.gov.co</t>
  </si>
  <si>
    <t>2025LG177</t>
  </si>
  <si>
    <t>LP-01 GASTOS HONORARIOS JURIDICOS EN PROCESO</t>
  </si>
  <si>
    <t>A-8-3-9-10-02</t>
  </si>
  <si>
    <t>HONORARIOS JURIDICOS INCAUTADO</t>
  </si>
  <si>
    <t>PRESTAR SERVICIOS PROFESIONALES PARA ACOMPAÑAR JURÍDICAMENTE  EN MATERIA DE DERECHO SOCIETARIO Y COMERCIAL LA DIRECCIÓN DE GOBIERNO, CONTROL Y DEMOCRATIZACIÓN DE SOCIEDADES.</t>
  </si>
  <si>
    <t>ABRIL</t>
  </si>
  <si>
    <t xml:space="preserve">MAYO </t>
  </si>
  <si>
    <t>Dimensión Productiva, Social y Ambiental_ 
Destinación de activos al fomento a la economía popular.</t>
  </si>
  <si>
    <t xml:space="preserve">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t>
  </si>
  <si>
    <t>2025LG138</t>
  </si>
  <si>
    <t>LP-01 SERVICIOS PARA APOYO A LA GESTIÓN</t>
  </si>
  <si>
    <t>DIRECCCIÓN PARA LA DEMOCRATIZACIÓN DE ACTIVOS INMUEBLES RURALES</t>
  </si>
  <si>
    <t>PRESTAR SERVICIOS PROFESIONALES CON AUTONOMÍA TÉCNICA Y ADMINISTRATIVA PARA APOYAR Y COORDINAR JURÍDICAMENTE LOS PROCESOS QUE TIENE A CARGO LA DIRECCIÓN PARA LA DEMOCRATIZACIÓN DE ACTIVOS INMUEBLES RURALES</t>
  </si>
  <si>
    <t>MARZO</t>
  </si>
  <si>
    <t>DIRECCIÓN PARA LA DEMOCRATIZACIÓN DE ACTIVOS INMUEBLES RURALES</t>
  </si>
  <si>
    <t>PRESTAR SERVICIOS PROFESIONALES CON AUTONOMÍA TÉCNICA Y ADMINISTRATIVA PARA ARTICULAR LA ESTRATEGIA AGRO-PRODUCTIVA CON LA VICEPRESIDENCIA DE BIENES MUEBLES E INMUEBLES Y REALIZAR EL SEGUIMIENTO Y EVALUACIÓN DE PROYECTOS A CARGO DE LA DIRECCIÓN DE ACTIVOS INMUEBLE RURALES</t>
  </si>
  <si>
    <t>PRESTAR SERVICIOS PROFESIONALES CON AUTONOMÍA TÉCNICA Y ADMINISTRATIVA PARA APOYAR LOS PROCESOS DE IDENTIFICACIÓN, CARACTERIZACIÓN Y ANÁLISIS JURÍDICO DE LOS INMUEBLES RURALES DE LA ENTIDAD A CARGO DE LA DIRECCIÓN PARA LA DEMOCRATIZACIÓN DE ACTIVOS INMUEBLES RURALES.</t>
  </si>
  <si>
    <t>PRESTAR SERVICIOS PROFESIONALES CON AUTONOMÍA TÉCNICA Y ADMINISTRATIVA PARA APOYAR JURÍDICAMENTE LOS PROCESOS QUE TIENE A CARGO LA DIRECCIÓN PARA LA DEMOCRATIZACIÓN DE ACTIVOS INMUEBLES RURALES</t>
  </si>
  <si>
    <t>PRESTAR SERVICIOS PROFESIONALES CON AUTONOMÍA TÉCNICA Y ADMINISTRATIVA PARA APOYAR LA IMPLEMENTACIÓN DE LA POLÍTICA DE TIERRAS PARA LA PAZ Y FORTALECER LA CAPACIDAD CONCEPTUAL Y DE GESTIÓN ESTRATÉGICA DE LA DIRECCIÓN PARA LA DEMOCRATIZACIÓN DE ACTIVOS INMUEBLES RURALES</t>
  </si>
  <si>
    <t>PRESTAR SERVICIOS PROFESIONALES CON AUTONOMÍA TÉCNICA Y ADMINISTRATIVA PARA APOYAR EL CUMPLIMIENTO DE LOS OBJETIVOS DE LA DIRECCIÓN PARA LA DEMOCRATIZACIÓN DE ACTIVOS INMUEBLES RURALES</t>
  </si>
  <si>
    <t>Dimensión de Grupos de Interés_
Fomento y fortalecimiento de alianzas público populares y comunitarios</t>
  </si>
  <si>
    <t>Promover la creación de alianzas público populares, comunitarias, cooperativas, corporativas y de cooperación internacional, que permitan el uso y el goce de bienes y servicios de la SAE por parte de sus grupos de interés, así como su fortalecimiento institucional.</t>
  </si>
  <si>
    <t>2025LG140</t>
  </si>
  <si>
    <t>LP-01 HONORARIOS Y ASESORIA APOYO</t>
  </si>
  <si>
    <t>DIRECCCIÓN PARA LA DEMOCRATIZACIÓN DE ACTIVOS INMUEBLES URBANOS</t>
  </si>
  <si>
    <t>PRESTAR SERVICIOS PROFESIONALES CON AUTONOMÍA TÉCNICA Y ADMINISTRATIVA PARA ACOMPAÑAR EL COMPONENTE SOCIAL DE LOS GRUPOS DE INTERÉS QUE SOLICITEN VIVIENDA POPULAR DENTRO DE LOS MECANISMOS QUE SE TIENEN DESDE LA DIRECCIÓN PARA LA DEMOCRATIZACIÓN DE ACTIVOS INMUEBLES URBANOS NO SOCIALES ADMINISTRADOS POR LA SOCIEDAD DE ACTIVOS ESPECIALES SAS (SAE).</t>
  </si>
  <si>
    <t>NO SOLICITADAS</t>
  </si>
  <si>
    <t>No</t>
  </si>
  <si>
    <t>PRESTAR SERVICIOS PROFESIONALES CON AUTONOMÍA TÉCNICA Y ADMINISTRATIVA PARA ACOMPAÑAR EL COMPONENTE TÉCNICO DE LOS GRUPOS DE INTERÉS QUE SOLICITEN VIVIENDA POPULAR DENTRO DE LOS MECANISMOS QUE SE TIENEN DESDE LA DIRECCIÓN PARA LA DEMOCRATIZACIÓN DE ACTIVOS INMUEBLES URBANOS NO SOCIALES ADMINISTRADOS POR LA SOCIEDAD DE ACTIVOS ESPECIALES SAS (SAE).</t>
  </si>
  <si>
    <t>PRESTAR SERVICIOS PROFESIONALES CON AUTONOMÍA TÉCNICA Y ADMINISTRATIVA PARA ACOMPAÑAR EL COMPONENTE JURÍDICO DE LOS GRUPOS DE INTERÉS QUE SOLICITEN VIVIENDA POPULAR DENTRO DE LOS MECANISMOS QUE SE TIENEN DESDE LA DIRECCIÓN PARA LA DEMOCRATIZACIÓN DE ACTIVOS INMUEBLES URBANOS NO SOCIALES ADMINISTRADOS POR LA SOCIEDAD DE ACTIVOS ESPECIALES  SAS (SAE).</t>
  </si>
  <si>
    <t>2025LG209</t>
  </si>
  <si>
    <t>LP-01 PRESTACION SERVICIO DE LIMPIEZA Y SERVICIOS GENERALES PARA LAS AGENCIAS TERRITORIALES Y DEMAS SEDES DE LA SAE QUE ASI LO REQUIERAN</t>
  </si>
  <si>
    <t xml:space="preserve">GASTOS GENERALES </t>
  </si>
  <si>
    <t>A-2-0-4-05-08</t>
  </si>
  <si>
    <t>SERVICIO DE ASEO Y CAFETERIA</t>
  </si>
  <si>
    <t>DIRECCION ADMINISTRATIVA</t>
  </si>
  <si>
    <t>PRESTAR EL SERVICIO DE LIMPIEZA PARA LAS AGENCIAS TERRITORIALES DE LA SAE</t>
  </si>
  <si>
    <t xml:space="preserve">c. Contratación Expedita </t>
  </si>
  <si>
    <t>SAE</t>
  </si>
  <si>
    <t xml:space="preserve">DIRECCION ADMINISTRATIVA </t>
  </si>
  <si>
    <t>DIANA ROCIO MARTINEZ CABRERA</t>
  </si>
  <si>
    <t xml:space="preserve">drmartinez@saesas.gov.co </t>
  </si>
  <si>
    <t>2025LG239</t>
  </si>
  <si>
    <t>LP-29 SUMINISTRO DE COMBUSTIBLE PARQUE AUTOMOTOR AL SERVICIO DE LA SAE  MAS ACPM PLANTA ELECTRICA EDIFICIO SEDE PRINCIPAL  - SAE</t>
  </si>
  <si>
    <t>A-2-0-4-04-01</t>
  </si>
  <si>
    <t>COMBUSTIBLE Y LUBRICANTES</t>
  </si>
  <si>
    <t>SUMINISTRAR EL COMBUSTIBLE Y ACPM PARA LA SAE</t>
  </si>
  <si>
    <t>MAYO</t>
  </si>
  <si>
    <t>AÑOS</t>
  </si>
  <si>
    <t>f. Adquisición a través de los mecanismos de agregación de demanda</t>
  </si>
  <si>
    <t>EN SOLICITUD</t>
  </si>
  <si>
    <t>2025LG240</t>
  </si>
  <si>
    <t>LP-24 SUMINISTRO DE HERRAMIENTAS, ELEMENTOS DE FERRETERIA, MATERIALES ELECTRICOS, ELECTRONICOS, MATERIALES DE CONSTRUCCION Y ELEMENTOS OCASIONALES NECESARIOS PARA EL FUNCIONAMIENTO DE LA SEDE, REGIONALES, BODEGA ARCHIVO -</t>
  </si>
  <si>
    <t>A-2-0-4-04-09</t>
  </si>
  <si>
    <t>ELEMENTOS DE FERRETERIA</t>
  </si>
  <si>
    <t>27112200;27112800;30161500;31161500;39101600;39101900;39121300;39121400;39121321</t>
  </si>
  <si>
    <r>
      <t>SUMINISTRAR LAS HERRAMIENTAS Y ELEMENTOS DE FERRETERIA, MATERIALES ELECTRICOS,ELECTRONICOS N</t>
    </r>
    <r>
      <rPr>
        <sz val="11"/>
        <color rgb="FF000000"/>
        <rFont val="Arial"/>
        <family val="2"/>
      </rPr>
      <t>ECESARIOS PARA EL FUNCIONAMIENTO DE TODAS LAS SEDES DE LA SAE SAS</t>
    </r>
  </si>
  <si>
    <t>d. Subasta inversa</t>
  </si>
  <si>
    <t>2025LG243</t>
  </si>
  <si>
    <t>LP-33 MANTENIMIENTO DE LOS BIENES MUEBLES DE LA SEDE PRINCIPAL, BODEGA Y REGIONALES - SAE</t>
  </si>
  <si>
    <t>A-2-0-4-05-02</t>
  </si>
  <si>
    <t>MANTENIMIENTO DE BIENES MUEBLES, EQUIPOS Y ENSERES</t>
  </si>
  <si>
    <t xml:space="preserve">	48101716;48101716;72154402</t>
  </si>
  <si>
    <t>CONTRATAR LA ADQUISICIÓN Y EL SERVICIO DE MANTENIMIENTO DE EQUIPOS PURIFICADORES Y/O DISPENSADORES DE AGUA PARA LA SAE SAS.</t>
  </si>
  <si>
    <t>2025LG244</t>
  </si>
  <si>
    <t>LP-20 MANTENIMIENTO  PREVENTIVO Y CORRECTIVO CON SUMINISTRO DE REPUESTOS ORIGINALES Y MANO DE OBRA PARA LOS VEHÍCULOS QUE CONFORMAN EL PARQUE AUTOMOTOR ACTIVO DE LA SOCIEDAD Y LOS QUE LE HAYAN SIDO Y LE SEAN ASIGNADOS</t>
  </si>
  <si>
    <t>A-2-0-4-05-06</t>
  </si>
  <si>
    <t>MANTENIMIENTO EQUIPO DE NAVEGACION Y TRANSPORTE</t>
  </si>
  <si>
    <t>25191700;26111703;78181500;78181600</t>
  </si>
  <si>
    <t>PRESTAR EL SERVICIO DE MANTENIMIENTO PREVENTIVO Y CORRECTIVO CON SUMINISTRO DE REPUESTOS ORIGINALES Y MANO DE OBRA PARA LOS VEHICULOS QUE CONFORMAN EL PARQUE AUTOMOTOR ACTIVO DE LA SAE</t>
  </si>
  <si>
    <t>2025LG245</t>
  </si>
  <si>
    <t>LP-17 SUMINISTRO DE ELEMENTOS, INSUMOS Y MAQUINARIA PARA EL SERVICIO DE ASEO Y CAFETERIA</t>
  </si>
  <si>
    <t>A-2-0-4-04-17</t>
  </si>
  <si>
    <t>PRODUCTOS Y SUMINISTROS DE ASEO, CAFETERIA, RESTAURANTE Y OTROS</t>
  </si>
  <si>
    <t>47121500;47121600;47121700;47121800;47121900;47131500;47131600;47131700;47131800;47132100;50161509;50201700;52151500</t>
  </si>
  <si>
    <t>SUMINISTRAR ELEMENTOS, INSUMOS Y MAQUINARIA PARA EL SERVICIO DE ASEO Y CAFETERIA DE LA SAE</t>
  </si>
  <si>
    <t>2025LG282</t>
  </si>
  <si>
    <t>LP-NA VIATICOS Y GASTOS DE VIAJE ALIMENTACIÓN</t>
  </si>
  <si>
    <t>GASTOS GENERALES</t>
  </si>
  <si>
    <t>A-2-0-4-11-01</t>
  </si>
  <si>
    <t>ALIMENTACION</t>
  </si>
  <si>
    <t>90111501;90101600;90101700;90101604</t>
  </si>
  <si>
    <t>CONTRATAR LA ADQUISICIÓN DE TARJETAS Y/O BONOS DE ALIMENTACIÓN PARA SUMINISTRAR AL PERSONAL DE LA SAE QUE SE ENCUENTRA EN COMISIÓN DE SERVICIOS O CON AUTORIZACIÓN DE DESPLAZAMIENTO AL INTERIOR DEL PAÍS.</t>
  </si>
  <si>
    <t>e. Convocatoria pública</t>
  </si>
  <si>
    <t>2025LG024</t>
  </si>
  <si>
    <t>LP-02 COMISIONES VENTA INMUEBLES Y OTROS EXTINTO</t>
  </si>
  <si>
    <t xml:space="preserve">GASTOS GENERALES
GASTOS DE OPERACIÓN </t>
  </si>
  <si>
    <t>A-2-0-4-42-01
A-8-3-9-05-02</t>
  </si>
  <si>
    <t>COMISIONES CARTERA, INMUEBLES, MUEBLES, MARTILLO Y OTROS EXTINTO
COMISIONES CARTERA, INMUEBLES, MUEBLES, MARTILLO Y OTROS INCAUTADO</t>
  </si>
  <si>
    <t>DIRECCIÓN COMERCIAL</t>
  </si>
  <si>
    <t>PRESTAR SERVICIOS  PARA LA COMERCIALIZACIÓN Y VENTA DE INMUEBLES ADMINISTRADOS POR LA SAE.</t>
  </si>
  <si>
    <t>DIEGO YOANI CHAVEZ PRIETO</t>
  </si>
  <si>
    <t>dchavez@saesas.gov.co</t>
  </si>
  <si>
    <t>Estandarizar, actualizar y mejoraar la información del inventario de activos administrados por la SAE con criterios de calidad y opotunidad.</t>
  </si>
  <si>
    <t>2025LG028</t>
  </si>
  <si>
    <t>LP-01 HONORARIOS SERVICIOS PROFESIONALES PARA APOYAR A LA GERENCIA</t>
  </si>
  <si>
    <t>PRESTAR SERVICIOS PROFESIONALES CON AUTONOMÍA TÉCNICA Y ADMINISTRATIVA PARA ACOMPAÑAR LA GESTIÓN DE LA COMERCIALIZACIÓN DE ACTIVOS ADMINISTRADOS POR SAE-FRISCO</t>
  </si>
  <si>
    <t>2025LG291</t>
  </si>
  <si>
    <t>LP-32 ADQUIRIR MÓDULOS DE SUBASTA ELECTRÓNICA PARA LA REALIZACIÓN DE LOS TRAMITES CONTRACTUALES DE LA SAE</t>
  </si>
  <si>
    <t>1. Plan de contratación</t>
  </si>
  <si>
    <t>A-2-0-4-01-08</t>
  </si>
  <si>
    <t>SOFTWARE</t>
  </si>
  <si>
    <t>DIRECCIÓN DE CONTRATACIÓN</t>
  </si>
  <si>
    <t>PRESTAR EL SERVICIO TECNOLÓGICO PARA REALIZAR LAS SUBASTAS INVERSAS ELECTÓNICAS QUE REQUIERA LA SAE</t>
  </si>
  <si>
    <t>ELKIN PEREZ ZAMBRANO</t>
  </si>
  <si>
    <t>elperez@saesas.gov.co</t>
  </si>
  <si>
    <t>2025LG292</t>
  </si>
  <si>
    <t>LP-01 HONORARIOS DE SERVICIOS PROFESIONALES PARA EL APOYO A LA GESTIÓN</t>
  </si>
  <si>
    <t>HONORARIOS ADMINISTRATIVOS</t>
  </si>
  <si>
    <t>PRESTAR SERVICIOS PROFESIONALES CON AUTONOMÍA TÉCNICA Y ADMINISTRATIVA PARA ESTRUCTURAR LOS PROCESOS DE CONTRATACIÓN QUE ADELANTE LA SOCIEDAD DE ACTIVOS ESPECIALES S.A.S.</t>
  </si>
  <si>
    <t>PRESTAR SERVICIOS PROFESIONALES  CON AUTONOMÍA TÉCNICA Y ADMINISTRATIVA  PARA ESTRUCTURAR LOS PROCESOS DE CONTRATACIÓN QUE ADELANTE LA SOCIEDAD DE ACTIVOS ESPECIALES S.A.S.</t>
  </si>
  <si>
    <t>PRESTAR SERVICIOS PROFESIONALES EXPERTOS CON AUTONOMÍA TÉCNICA Y ADMINISTRATIVA, PARA APOYAR A LA VICEPRESIDENCIA CORPORATIVA EN LOS TEMAS PROPIOS DE SU GESTIÓN.</t>
  </si>
  <si>
    <t>Dimensión Aprendizaje y Desarrollo_
Fortalecimiento de la gestión del conocimiento</t>
  </si>
  <si>
    <t>Desarrollar y potenciar las habilidades, competencias y conocimiento del talento humano de la SAE a través de procesos de gestión de conocimiento y gestión del cambio.</t>
  </si>
  <si>
    <t>2025LG262</t>
  </si>
  <si>
    <t>LP-01 ESTUDIO DE SEGURIDAD A LOS ASPIRANTES A CONFORMAR EL BANCO DE HOJAS DE VIDA</t>
  </si>
  <si>
    <t>DIRECCIÓN DE TALENTO HUMANO</t>
  </si>
  <si>
    <t>IVETH SUSANA AYALA RODRIGUEZ</t>
  </si>
  <si>
    <t>iayala@saesas.gov.co</t>
  </si>
  <si>
    <t>2025LG263</t>
  </si>
  <si>
    <t>LP-01 APLICACIÓN DE PRUEBAS PSICOTÉCNICAS  Y DE COMPETENCIAS</t>
  </si>
  <si>
    <t xml:space="preserve">PRESTAR SERVICIOS DE PRUEBAS PSICOTÉCNICAS Y PSICOMÉTRICAS EN LÍNEA, PARA EVALUAR LAS HABILIDADES COGNITIVAS Y LAS COMPETENCIAS COMPORTAMENTALES DE LOS ASPIRANTES A OCUPAR LOS EMPLEOS OFRECIDOS POR LA SAE DENTRO DE SUS PROCESOS DE SELECCIÓN DE PERSONAL.
</t>
  </si>
  <si>
    <t>Fomentar un bienestar laboral armónico de acuerdo con los valores institucionales y las necesidades de los trabajadores de la SAE.</t>
  </si>
  <si>
    <t>2025LG264</t>
  </si>
  <si>
    <t>LP-01 PRESTAR SERVICIOS PROFESIONALES COMO INTERPRETE DE LENGUA DE SEÑAS COLOMBIANAS – ESPAÑOL,</t>
  </si>
  <si>
    <t>82112000;80111600</t>
  </si>
  <si>
    <t>PRESTAR SERVICIOS DE INTERPRETACIÓN DE LENGUA DE SEÑAS COLOMBIANA – ESPAÑOL, COMO MECANISMO PARA APOYAR EL ACCESO A LA COMUNICACIÓN Y LA INFORMACIÓN DE LA POBLACIÓN CON DISCAPACIDAD AUDITIVA.</t>
  </si>
  <si>
    <t>2025LG265</t>
  </si>
  <si>
    <t>LP-01 SERVICIO DE AUDITORIA Y CERTIFICACION BAJO ENTE ACREDITADO EN LA NORMA ISO:45001 DE SISTEMAS DE GESTION DE SEGURIDAD Y SALUD EN EL TRABAJO</t>
  </si>
  <si>
    <t>CONTRATAR LOS SERVICIOS DE PREAUDITORIA, AUDITORIA Y CERTIFICACIÓN ISO 45001:2018 PARA ALCANZAR SUS OBJETIVOS EN MATERIAL DE SEGURIDAD Y SALUD EN ELTRABAJO DE LA SAE</t>
  </si>
  <si>
    <t>46180000;56101700;46182200</t>
  </si>
  <si>
    <t>2025LG269</t>
  </si>
  <si>
    <t>LP-16 SEGURIDAD INDUSTRIAL: ELEMENTOS DE PROTECCIÓN PERSONAL, SEÑALIZACIÓN PREVENTIVA, BRIGADAS DE EMERGENCIA, ELEMENTOS BOTIQUÍN, ENTRE OTROS.</t>
  </si>
  <si>
    <t>A-2-0-4-04-03</t>
  </si>
  <si>
    <t>ELEMENTOS DE SEGURIDAD INDUSTRIAL</t>
  </si>
  <si>
    <t>42171600;55120000;46190000</t>
  </si>
  <si>
    <t>PRESTAR EL SERVICIO DE MANTENIMIENTO Y RECARGA DE LOS EXTINTORES DE LA SAE, PARA SU CORRECTO Y NORMAL FUNCIONAMIENTO, INCLUYENDO EL SUMINISTRO DE LOS REPUESTOS A QUE HAYA LUGAR Y SU SEÑALIZACION</t>
  </si>
  <si>
    <t>Iayala@saesas.gov.co</t>
  </si>
  <si>
    <t>2025LG271</t>
  </si>
  <si>
    <t>LP-16 DOTACIÓN REGLAMENTARIA Y UNIFORMIDAD</t>
  </si>
  <si>
    <t>A-2-0-4-04-02</t>
  </si>
  <si>
    <t>DOTACION</t>
  </si>
  <si>
    <t>80141628;80141629</t>
  </si>
  <si>
    <t>SUMINISTRAR BONOS CANJEABLES POR VESTIDO Y CALZADO, PARA TRABAJADORE(AS) BENEFICIARIOS DE DOTACIÓN LEGAL DE LA SAE</t>
  </si>
  <si>
    <t>2025LG272
2025LG273</t>
  </si>
  <si>
    <t>LP-19 SEGUROS DE VIDA
LP-19 PÓLIZA DE SEGURO EXEQUIAL</t>
  </si>
  <si>
    <t>A-2-0-4-09-06
A-2-0-4-09-12</t>
  </si>
  <si>
    <t>SEGURO DE VIDA
SEGUROS EXEQUIALES</t>
  </si>
  <si>
    <t>84131601;84131601;84131600</t>
  </si>
  <si>
    <t>CONTRATAR PÓLIZAS DE VIDA GRUPO Y EXEQUIALES PARA LAS PERSONAS VINCULADAS CON LA SOCIEDAD DE ACTIVOS ESPECIALES SAE S.A.S POR CONTRATO LABORAL Y/O DOCUMENTO DE NOMBRAMIENTO, A TRAVÉS DE UNA COMPAÑÍA DE SEGUROS LEGALMENTE CONSTITUIDA Y AUTORIZADA PARA OPERAR EN EL TERRITORIO NACIONAL.</t>
  </si>
  <si>
    <t>JULIO</t>
  </si>
  <si>
    <t>AGOSTO</t>
  </si>
  <si>
    <t>2025LG277</t>
  </si>
  <si>
    <t>LP-07 ARRENDAMIENTO SOFTWARE NOMINA ELECTRONICA</t>
  </si>
  <si>
    <t>A-2-0-4-10-03</t>
  </si>
  <si>
    <t>ARRENDAMIENTO SOFTWARE</t>
  </si>
  <si>
    <t>PRESTAR EL SERVICIO DE FACTURACION ELECTRONICA PARA LA NOMINA EN CUMPLIMIENTO DE LA RESOLUCIÓN 0013 DE 2021 DE LA SAE SAS.</t>
  </si>
  <si>
    <t>SEPTIEMBRE</t>
  </si>
  <si>
    <t>2025LG279</t>
  </si>
  <si>
    <t>LP-10 ESQUEMA DE SEGURIDAD PRESIDENCIA SAE</t>
  </si>
  <si>
    <t>A-2-0-4-05-10</t>
  </si>
  <si>
    <t>SERVICIO DE SEGURIDAD Y VIGILANCIA</t>
  </si>
  <si>
    <t>AUNAR ESFUERZOS ENTRE LA UNIDAD NACIONAL DE PROTECCIÓN UNP Y LA SOCIEDAD DE ACTIVOS ESPECIALES SAE SAS, PARA EJERCER LA ADECUADA PROTECCIÓN AL PRESIDENTE DE LA SAE SAS, QUIEN EN RAZÓN A SU CARGO Y FUNCIONES PRESENTA UN RIESGO EXTRAORDINARIO PARA SU VIDA, INTEGRIDAD LIBERTAD Y SEGURIDAD PERSONAL.</t>
  </si>
  <si>
    <t>2025LG295</t>
  </si>
  <si>
    <t>LP</t>
  </si>
  <si>
    <t>HONORARIOS SERVICIOS PROFESIONALES PARA APOYO A LA GESTION DE LA DIRECCION DE TALENTO HUMANO</t>
  </si>
  <si>
    <t xml:space="preserve">PRESTAR SERVICIOS PROFESIONALES CON AUTONOMÍA TÉCNICA Y ADMINISTRATIVADES PARA ACOMPAÑAR LA ACTUALIZACIÓN DEL MAPA DE PROCESOS EN LOS ASUNTOS DE BIENESTAR, NOMINA, SST, CICLO DE VIDA, CAPACITACIONES Y APOYO A LA DIRECCION DE TALENTO HUMANO  </t>
  </si>
  <si>
    <t>PRESTAR SERVICIOS DE CAPACITACIÓN QUE PROMUEVAN UNA CULTURA ORGANIZACIONAL COMPROMETIDA CON LA NO DISCRIMINACIÓN Y ESPACIO LIBRES DE VIOLENCIAS BASADA EN GENERO MEDIANTE TALLERES DE SENSIBILIZACIÓN DIRIGIDO A LOS TRABAJADORES Y TRABAJADORAS DE LA SOCIEDAD DE ACTIVOS ESPECIALES SAE SAS</t>
  </si>
  <si>
    <t>Dimensión Financiera_ 
Control financiero y administrativo de los recursos económicos de la sociedad y de los activos que administra.</t>
  </si>
  <si>
    <t>2025LG107</t>
  </si>
  <si>
    <t>LP-01 HONORARIOS SERVICIOS PROFESIONALES PARA APOYO A LA GESTIÓN</t>
  </si>
  <si>
    <t>DIRECCIÓN FINANCIERA</t>
  </si>
  <si>
    <t>PRESTAR SERVICIOS PROFESIONALES DE ASESORÍA, CONSULTORÍA FINANCIERA, CONTABLE Y JURÍDICA PARA ACOMPAÑAR LOS PROCESOS DE RENDICIÓN DE CUENTAS, MESAS DE CONCILIACIÓN CON LOS DEPOSITARIOS Y DEMÁS ACTIVIDADES QUE REQUIERA LA DIRECCIÓN FINANCIERA.</t>
  </si>
  <si>
    <t>PENDIENTES DE SOLICITAR</t>
  </si>
  <si>
    <t xml:space="preserve">DIRECCION FINANCIERA </t>
  </si>
  <si>
    <t xml:space="preserve">
JOHN ALBEYRO PEÑA CARREÑO</t>
  </si>
  <si>
    <t>7431444 ext 213</t>
  </si>
  <si>
    <t>jopena@saesas.gov.co</t>
  </si>
  <si>
    <t>2025LG289</t>
  </si>
  <si>
    <t>LP-01 REVISORÍA FISCAL Y ASESORÍAS TIBUTARIAS</t>
  </si>
  <si>
    <t>PRESTAR LOS SERVICIOS DE REVISORÍA FISCAL, DE CONFORMIDAD CON LO ESTABLECIDO CON LA NORMATIVIDAD APLICABLE Y LOS ESTATUTOS SOCIALES DE LA SAE.</t>
  </si>
  <si>
    <t>Garantizar la recuperación de cartera por procesos de cobro persuasivo y judicialización.</t>
  </si>
  <si>
    <t>2025LG099
2025LG100</t>
  </si>
  <si>
    <t xml:space="preserve">LP-02 COMISIONES CARTERA Y OTROS EXTINTO
LP-02 COMISIONES CARTERA Y OTROS EN PROCESO
</t>
  </si>
  <si>
    <t>COMISIONES CARTERA</t>
  </si>
  <si>
    <t>CONTRATAR EL SERVICIO DE COBRO PERSUASIVO A LA CARTERA QUE LA SAE TIENE A SU CARGO COMO ADMINISTRADOR DEL FRISCO.</t>
  </si>
  <si>
    <t xml:space="preserve">Generar rentabilidad económica a partir de la diversificación de ingresos, para la inversión social y la lucha contra el crimen organizado. </t>
  </si>
  <si>
    <t>2025LG290</t>
  </si>
  <si>
    <t>LP-23 CUSTODIA PORTAFOLIO</t>
  </si>
  <si>
    <t>A-2-0-4-22-03</t>
  </si>
  <si>
    <t>ADMINISTRACIÓN DE PORTAFOLIO</t>
  </si>
  <si>
    <t>53121704;84121806</t>
  </si>
  <si>
    <t>CONTRATAR LA CUSTODIA Y SALVAGUARDA DE VALORES DE LOS TÍTULOS VALORES DEL MERCADO LOCAL E INTERNACIONAL Y RECURSOS EN DINERO DEL PORTAFOLIO DE INVERSIÓN ADMINISTRADO POR LA SOCIEDAD DE ACTIVOS ESPECIALES S.A.S., ASÍ COMO LA ADMINISTRACIÓN DE VALORES Y LA COMPENSACIÓN Y LIQUIDACIÓN DE LAS OPERACIONES REALIZADAS SOBRE DICHOS VALORES.</t>
  </si>
  <si>
    <t>2025LG011</t>
  </si>
  <si>
    <t>LP-01 HONORARIOS SERVICIOS DE APOYO</t>
  </si>
  <si>
    <t>OFICINA DE INTEGRIDAD, ANTICORRUPCIÓN Y CUMPLIMIENTO</t>
  </si>
  <si>
    <t>PRESTAR SERVICIOS PROFESIONALES CON AUTONOMÍA TÉCNICA Y ADMINISTRATIVA PARA REALIZAR LA PROGRAMACION EN DESARROLLO DE TABLEROS DE CONTROL POWER BI PARA LA OFICINA  DE INTEGRIDAD, ANTICORRUPCION Y CUMPLIMIENTO</t>
  </si>
  <si>
    <t>DANIEL SEBASTIAN CONTRERAS ORTIZ</t>
  </si>
  <si>
    <t>dcontreras@saesas.gov.co</t>
  </si>
  <si>
    <t xml:space="preserve">PRESTAR SERVICIOS PROFESIONALES CON AUTONOMÍA TÉCNICA Y ADMINISTRATIVA PARA ACOMPAÑAR JURÍDICAMENTE A LA OFICINA DE INTEGRIDAD, ANTICORRUPCIÓN Y CUMPLIMIENTO </t>
  </si>
  <si>
    <t xml:space="preserve">PRESTAR SERVICIOS DE APOYO A LA GESTIÓN CON AUTONOMÍA TÉCNICA Y ADMINISTRATIVA PARA REALIZAR LAS ACTIVIDADES OPERATIVAS TRANSVERSALES DE  LA OFICINA DE INTEGRIDAD, ANTICORRUPCIÓN Y CUMPLIMIENTO </t>
  </si>
  <si>
    <t>2025LG020;2025LG218</t>
  </si>
  <si>
    <t>LP-01 OPERADOR LOGISTICO</t>
  </si>
  <si>
    <t>HONORARIOS ADMINISTRATIVOS EXTINTO;HONORARIOS ADMINISTRATIVOS</t>
  </si>
  <si>
    <t>HONORARIOS ADMINISTRATIVOS EXTINTO
HONORARIOS ADMINISTRATIVOS</t>
  </si>
  <si>
    <t>OFICINA DE PRENSA Y COMUNICACIONES</t>
  </si>
  <si>
    <t xml:space="preserve">80111623;80141600;80141900;80161507;81141601;90101600;93141701;
94121513;80141607
</t>
  </si>
  <si>
    <t>CONTRATAR LA PRESTACIÓN DE SERVICIO INTEGRAL DE ACUERDO CON LOS REQUERIMIENTOS DE LA SOCIEDAD DE ACTIVOS ESPECIALES SAS, PARA QUE DENTRO DE UNA BOLSA DE PRODUCTOS PRESTE EL SERVICIO DE APOYO OPERATIVO Y LOGISTICO EN EL TERRITORIO NACIONAL.</t>
  </si>
  <si>
    <t>JUNIO</t>
  </si>
  <si>
    <t>FRISCO 
SAE</t>
  </si>
  <si>
    <t>MAURICIO ALEXIS RIVEROS QUINTERO</t>
  </si>
  <si>
    <t>mriveros@saesas.gov.co</t>
  </si>
  <si>
    <t>2025LG219</t>
  </si>
  <si>
    <t>LP-01 HONORARIOS SERVICIOS PROFESIONALES PARA APOYO A LA GESTIÓN DE LA OFICINA DE COMUNICACIONES Y ATENCION AL CIUDADANO</t>
  </si>
  <si>
    <t>PRESTAR SERVICIOS PROFESIONALES CON AUTONOMÍA TÉCNICA Y ADMINISTRATIVA PARA EL DESARROLLO Y APOYO A LA GESTIÓN DE LA OFICINA DE PRENSA Y COMUNICACIONES DE LA SAE</t>
  </si>
  <si>
    <t>2025LG220</t>
  </si>
  <si>
    <t>LP-32 LICENCIAS ADOBE</t>
  </si>
  <si>
    <t>ADQUIRIR LAS LICENCIAS DE EDICIÓN PARA LA CREACIÓN DE CONTENIDOS DIGITALES QUE REQUIERA LA OFICINA DE PRENSA Y COMUNICACIONES DE LA SAE</t>
  </si>
  <si>
    <t>2025LG221</t>
  </si>
  <si>
    <t>LP-03 IMPRESOS</t>
  </si>
  <si>
    <t>A-2-0-4-07-06</t>
  </si>
  <si>
    <t>OTROS GASTOS POR IMPRESOS Y PUBLICACIONES</t>
  </si>
  <si>
    <t>55101500;73151900;82101500;82121500</t>
  </si>
  <si>
    <t>CONTRATAR A TRAVÉS DE UNA BOLSA DE PRODUCTOS LOS SERVICIOS DE IMPRESIÓN OFFSET, DIGITAL, PRE-PRENSA, CTP O CUALQUIER OTRO SISTEMA DE IMPRESIÓN, EN DIVERSOS FORMATOS, MATERIALES (BLANDOS Y RÍGIDOS) Y CON ACABADOS PARA SER ENTREGADOS Y/O INSTALADOS EN TODO EL TERRITORIO NACIONAL</t>
  </si>
  <si>
    <t xml:space="preserve">2025LG015
</t>
  </si>
  <si>
    <t xml:space="preserve">LP-32 COMPRA DE INFRAESTRUCTURA Y LOS SERVICIOS QUE LA ACOMPAÑAN (REDES, COMUNICACIONES, SEGURIDAD, SERVICIO DE NUBE, SOFTWARE BASE Y TRANSFERENCIA DE CONOCIMIENTO, ENTRE OTROS)
</t>
  </si>
  <si>
    <t xml:space="preserve">A-2-0-4-01-06
</t>
  </si>
  <si>
    <t xml:space="preserve">HARDWARE EXTINTO
</t>
  </si>
  <si>
    <t>OFICINA DE TECNOLOGÍAS Y SISTEMAS DE LA INFORMACIÓN</t>
  </si>
  <si>
    <t>8111250;181112200;81112501</t>
  </si>
  <si>
    <t>ADQUISICIÓN Y RENOVACION DE LICENCIAMIENTO FORTICARE PREMIUM SUPPORT, EQUIPOS FORTINET Y EXTREME, SOPORTE PARA LA CONECTIVIDAD SOC (CENTRO DE OPERACIONES DE SEGURIDAD) Y SEGURIDAD DE LA RED Y PRESTACION DE SERVICIO NOC (CENTRO DE OPERACIONES DE RED).</t>
  </si>
  <si>
    <t>DIVEITH DIANA CRISTINA DÁVILA GÓMEZ</t>
  </si>
  <si>
    <t>ddavila@saesas.gov.co</t>
  </si>
  <si>
    <t>2025LG019</t>
  </si>
  <si>
    <t>LP-01 HONORARIOS PERSONAL PARA PROYECTO OGI</t>
  </si>
  <si>
    <t xml:space="preserve">PRESTAR SERVICIOS PROFESIONALES CON AUTONOMÍA TÉCNICA Y ADMINISTRATIVA PARA REALIZAR EL ANÁLISIS, LEVANTAMIENTO, CONSTRUCCIÓN, PRUEBAS E INTEGRACIONES DE LOS REQUERIMIENTOS, DE LOS APLICATIVOS MISIONALES DE LA SOCIEDAD DE ACTIVOS ESPECIALES SAS ASIGNADOS.   </t>
  </si>
  <si>
    <t xml:space="preserve">PRESTAR SERVICIOS PROFESIONALES CON AUTONOMÍA TÉCNICA Y ADMINISTRATIVA PARA DESARROLLAR, CONSTRUIR E INTEGRAR LOS REQUERIMIENTOS DE LOS APLICATIVOS MISIONALES DE LA SOCIEDAD DE ACTIVOS ESPECIALES SAS ASIGNADOS. </t>
  </si>
  <si>
    <t>2025LG014</t>
  </si>
  <si>
    <t>LP-32 COMPRA DE APLICACIONES Y LOS SERVICIOS QUE LA ACOMPAÑAN (SUSCRIPCIONES, LICENCIAMIENTO, RENOVACIÓN, SEGURIDAD, SERVICIOS DE NUBE Y TRANSFERENCIA DE CONOCIMIENTO, ENTRE OTROS)</t>
  </si>
  <si>
    <t>SOFTWARE EXTINTO</t>
  </si>
  <si>
    <t>81112100;81112000</t>
  </si>
  <si>
    <t>SERVICIOS DE PLATAFORMA DE NUBE PÚBLICA PARA LA SOCIEDAD DE ACTIVOS ESPECIALES</t>
  </si>
  <si>
    <t>EN PROYECCIÓN</t>
  </si>
  <si>
    <t>2025LG017</t>
  </si>
  <si>
    <t>LP-32 MANTENIMIENTO DE APLICACIONES Y LOS SERVICIOS QUE LA ACOMPAÑAN (SOPORTE, ENTRE OTROS)</t>
  </si>
  <si>
    <t>A-2-0-4-05-13</t>
  </si>
  <si>
    <t>MANTENIMIENTO DE SOFTWARE</t>
  </si>
  <si>
    <t>ADQUISICION, RENOVACIÓN, SOPORTE Y MANTENIMIENTO DE LICENCIAS DE UNA SOLUCIÓN DE ANÁLISIS DE COMPROMISOS EN TIEMPO REAL (LUMU) PARA LA SOCIEDAD DE ACTIVOS ESPECIALES SAS</t>
  </si>
  <si>
    <t>2025LG016</t>
  </si>
  <si>
    <t>LP-07 ARRENDAMIENTOS DE HARDWARE Y SOFTWARE Y LOS SERVICIOS QUE LO ACOMPAÑAN (SUSCRIPCIONES, LICENCIAMIENTO, RENOVACIÓN, SEGURIDAD, SERVICIOS DE NUBE Y TRANSFERENCIA DE CONOCIMIENTO, ENTRE OTROS)</t>
  </si>
  <si>
    <t>A-2-0-4-10-01</t>
  </si>
  <si>
    <t>ARRENDAMIENTO DE BIENES MUEBLES</t>
  </si>
  <si>
    <t>ARRIENDO Y SOPORTE DE PRIMER NIVEL DE COMPUTADORES, PERIFÉRICOS Y COMPONENTES DE HARDWARE Y SOFTWARE PARA LA SOCIEDAD DE ACTIVOS ESPECIALES SAS.</t>
  </si>
  <si>
    <t>PRESTAR SERVICIOS DE DESARROLLO, SOPORTE Y MANTENIMIENTO DEL SISTEMA INTEGRADO PARA GESTIÓN FINANCIERA Y ADMINISTRATIVA APLICATIVO SEVEN-ERP  (ENTERPRISE RESOURCE PLANNING / PLANIFICACION DE RECURSOS EMPRESARIALES) Y GESTIÓN DE TALENTO HUMANO KACTUS PARA LA SOCIEDAD DE ACTIVOS ESPECIALES SAE SAS. </t>
  </si>
  <si>
    <t>81112200;81111800</t>
  </si>
  <si>
    <t>PRESTAR SERVICIOS PARA LA GARANTÍA EXTENDIDA, MANTENIMIENTO PREVENTIVO, MANTENIMIENTO CORRECTIVO Y SOPORTE TÉCNICO PARA EL SISTEMA DE ALMACENAMIENTO EN RED (NAS) DE LA ENTIDAD</t>
  </si>
  <si>
    <t>PRESTAR LOS SERVICIOS DE SOPORTE Y ACTUALIZACIONES DE LICENCIAS ARCGIS QUE TIENE LA SOCIEDAD DE ACTIVOS ESPECIALES S.A.S </t>
  </si>
  <si>
    <t>81112400;81111800</t>
  </si>
  <si>
    <t>PRESTAR SERVICIOS DE DIAGNÓSTICO, ACTUALIZACIÓN, CONFIGURACIÓN, SOPORTE Y MANTENIMIENTO DEL SISTEMA DE GESTIÓN DE SERVICIOS DE TECNOLOGÍA (GLPI) DE LA SOCIEDAD DE ACTIVOS ESPECIALES SAS.</t>
  </si>
  <si>
    <t>81112200;43233400</t>
  </si>
  <si>
    <t>ADQUISICIÓN Y RENOVACIÓN DE LICENCIAS PARA HERRAMIENTA DE CUSTODIA Y SEGURIDAD DE LA INFORMACIÓN PARA LA GESTIÓN DE COPIAS DE RESPALDO.</t>
  </si>
  <si>
    <t>2025LG214</t>
  </si>
  <si>
    <t>81112400;43233400</t>
  </si>
  <si>
    <t>PRESTAR SERVICIOS DE ARRENDAMIENTO, SOPORTE, MANTENIMIENTO Y ACTUALIZACION DE LA PLATAFORMA TELEFONICA PARA LA SOCIEDAD DE ACTIVOS ESPECIALES SAS.</t>
  </si>
  <si>
    <t>2025LG212</t>
  </si>
  <si>
    <t xml:space="preserve">RENOVACIÓN DE CERTIFICADO SSL WILCARD DE LA SOCIEDAD DE ACTIVOS ESPECIALES SAESAS. </t>
  </si>
  <si>
    <t>81112501;43231512</t>
  </si>
  <si>
    <t>CONTRATAR LA ADQUISICIÓN DE CERTIFICADOS DE FIRMA DIGITAL, Y EL SERVICIO DE API PARA INTEGRACIÓN CON APLICATIVOS MISIONALES.</t>
  </si>
  <si>
    <t>2025LG012</t>
  </si>
  <si>
    <t>OFICINA JURÍDICA</t>
  </si>
  <si>
    <t>PRESTAR SERVICIOS PROFESIONALES CON AUTONOMÍA TÉCNICA Y ADMINISTRATIVA PARA ASESORAR JURÍDICAMENTE EN LOS ASUNTOS ESTRATÉGICOS DE LA OFICINA JURÍDICA DE LA PRESIDENCIA DE LA SAE</t>
  </si>
  <si>
    <t xml:space="preserve">
JUAN BAUTISTA RIVAS RAMOS</t>
  </si>
  <si>
    <t>jrivas@saesas.gov.co</t>
  </si>
  <si>
    <t>2025LG133</t>
  </si>
  <si>
    <t>LP-01 HONORARIOS SERVICIOS PROFESIONALES ESPECIALIZADOS PARA APOYAR A LA VICEPRESIDENCIA DE BIENES MUEBLES E INMUEBLES DE LA SAE EN LAS GESTIONES QUE SE DEBAN ADOPTAR EN EL MARCO DE LAS FUNCIONES DE LA VICEPRESIDENCIA</t>
  </si>
  <si>
    <t>VICEPRESIDENCIA DE ACTIVOS MUEBLES E INMUEBLES</t>
  </si>
  <si>
    <t xml:space="preserve">OMAR PINZON FLOREZ </t>
  </si>
  <si>
    <t>opinzon@saesas.gov.co</t>
  </si>
  <si>
    <t xml:space="preserve">PRESTAR SERVICIOS PROFESIONALES CON AUTONOMÍA TÉCNICA Y ADMINISTRATIVA EN LA VICEPRESIDENCIA DE ACTIVOS MUEBLES E INMUEBLES </t>
  </si>
  <si>
    <t>PRESTAR SERVICIOS PROFESIONALES CON AUTONOMÍA TÉCNICA Y ADMINISTRATIVA PARA ACOMPAÑAR LOS PROCESOS DE LAS DIFERENTES DIRECCIONES DE LA VICEPRESIDENCIA DE ACTIVOS MUEBLES E INMUEBLES DE LA SAE</t>
  </si>
  <si>
    <t>2025LG167</t>
  </si>
  <si>
    <t>LP-01 HONORARIOS DE SERVICIOS PROFESIONALES PARA EL APOYO A LA GESTION DE LA VICEPRESIDENCIA DE SOCIEDADES</t>
  </si>
  <si>
    <t>VICEPRESIDENCIA DE SOCIEDADES</t>
  </si>
  <si>
    <t xml:space="preserve"> HERMEY CAMILO LOPEZ ACOSTA </t>
  </si>
  <si>
    <t>hlopez@saesas.gov.co</t>
  </si>
  <si>
    <t>2025LG127</t>
  </si>
  <si>
    <t>LP-01 DEFENSA JUDICIAL, CARTERA, VIGILANCIA JUDICIAL,  PERITOS ESPECIALES,  PROCESOS ESPECIALES, ENTRE OTROS</t>
  </si>
  <si>
    <t>Gastos de personal</t>
  </si>
  <si>
    <t>DIRECCIÓN DE ASUNTOS LEGALES MISIONALES</t>
  </si>
  <si>
    <t>PRESTAR SERVICIOS PROFESIONALES DE REPRESENTACIÓN EXTRAJUDICIAL Y/O JUDICIAL DE LOS PROCESOS ASIGNADOS O QUE DEBAN INICIARSE DE NATURALEZA LABORAL EN DEFENSA DE LOS INTERESES DE LA SOCIEDAD DE ACTIVOS ESPECIALES S.A. (SAE – SAS) EN REPRESENTACIÓN DEL FONDO PARA LA REHABILITACIÓN, INVERSIÓN SOCIAL Y LUCHA CONTRA EL CRIMEN ORGANIZADO (FRISCO).</t>
  </si>
  <si>
    <t>ANYI SHARLYN MARÍN CAMARGO</t>
  </si>
  <si>
    <t>7431444 Ext. 431</t>
  </si>
  <si>
    <t>amarin@saesas.gov.co</t>
  </si>
  <si>
    <t>PRESTAR SERVICIOS PROFESIONALES DE REPRESENTACIÓN EXTRAJUDICIAL Y/O JUDICIAL DE LOS PROCESOS ASIGNADOS O QUE DEBAN INICIARSE DE NATURALEZA CIVIL Y/O COMERCIAL EN DEFENSA DE LOS INTERESES DE LA SOCIEDAD DE ACTIVOS ESPECIALES S.A. (SAE – SAS) EN REPRESENTACIÓN DEL FONDO PARA LA REHABILITACIÓN, INVERSIÓN SOCIAL Y LUCHA CONTRA EL CRIMEN ORGANIZADO (FRISCO).</t>
  </si>
  <si>
    <t>PRESTAR SERVICIOS PROFESIONALES DE REPRESENTACIÓN EXTRAJUDICIAL Y/O JUDICIAL DE LOS PROCESOS ASIGNADOS O QUE DEBAN INICIARSE DE NATURALEZA CONTENCIOSO ADMINISTRATIVO, SANCIONATORIOS ADMINISTRATIVOS Y DE COBRO COACTIVO, EN DEFENSA DE LOS INTERESES DE LA SOCIEDAD DE ACTIVOS ESPECIALES S.A. (SAE – SAS) EN REPRESENTACIÓN DEL FONDO PARA LA REHABILITACIÓN, INVERSIÓN SOCIAL Y LUCHA CONTRA EL CRIMEN ORGANIZADO (FRISCO).</t>
  </si>
  <si>
    <t>PRESTAR SERVICIOS PROFESIONALES DE REPRESENTACIÓN EXTRAJUDICIAL Y/O JUDICIAL PARA LA RECUPERACIÓN DE CARTERA EN DEFENSA DE LOS INTERESES DE LA SOCIEDAD DE ACTIVOS ESPECIALES S.A. (SAE – SAS) EN REPRESENTACIÓN DEL FONDO PARA LA REHABILITACIÓN, INVERSIÓN SOCIAL Y LUCHA CONTRA EL CRIMEN ORGANIZADO (FRISCO)</t>
  </si>
  <si>
    <t>PRESTAR SERVICIOS PROFESIONALES DE REPRESENTACIÓN JUDICIAL, EXTRAJUDICIAL Y ASESORÍAS EN ASUNTOS PENALES DE INTERÉS PARA LA ENTIDAD CONFORME LO SOLICITADO POR LA SOCIEDAD DE ACTIVOS ESPECIALES S.A.S.</t>
  </si>
  <si>
    <t>2025LG130</t>
  </si>
  <si>
    <t>PRESTAR SERVICIOS PROFESIONALES DE ASESORÍA JURÍDICA INTEGRAL Y DE ALTO IMPACTO EN CUALQUIER ESPECIALIDAD QUE REQUIERA LA SOCIEDAD DE ACTIVOS ESPECIALES S.A.S., A TRAVÉS DE LA DIRECCIÓN DE ASUNTOS LEGALES MISIONALES Y/O VICEPRESIDENCIA OPERATIVA.</t>
  </si>
  <si>
    <t>PRESTAR SERVICIOS PROFESIONALES, CON AUTONOMÍA TÉCNICA Y ADMINISTRATIVA PARA LA EXPEDICIÓN DE VIABILIDADES JURÍDICAS Y/O ACTOS ADMINISTRATIVOS, ASÍ COMO LA ATENCIÓN A REQUERIMIENTOS DE LA DIRECCIÓN DE ASUNTOS LEGALES.</t>
  </si>
  <si>
    <t>PRESTAR SERVICIOS PROFESIONALES, CON AUTONOMÍA TÉCNICA Y ADMINISTRATIVA PARA LA EXPEDICIÓN DE VIABILIDADES JURÍDICAS Y/O ACTOS ADMINISTRATIVOS, ASÍ COMO LA ATENCIÓN A REQUERIMIENTOS DE LA DIRECCIÓN DE ASUNTOS LEGALES..</t>
  </si>
  <si>
    <t>PRESTAR SERVICIOS PROFESIONALES CON AUTONOMÍA TÉCNICA Y ADMINISTRATIVA PARA LA EXPEDICIÓN DE VIABILIDADES JURÍDICAS Y/O ACTOS ADMINISTRATIVOS, ASÍ COMO LA ATENCIÓN A REQUERIMIENTOS DE LA DIRECCIÓN DE ASUNTOS LEGALES.</t>
  </si>
  <si>
    <t>2025LG006</t>
  </si>
  <si>
    <t>GERENCIA DE DEPOSITARIOS, MANDATARIOS Y LIQUIDADORES</t>
  </si>
  <si>
    <t>PRESTAR SERVICIOS DE APOYO A LA GESTIÓN, CON AUTONOMÍA TÉCNICA Y ADMINISTRATIVA PARA REALIZAR LA EVALUACIÓN, SELECCIÓN Y SEGUIMIENTO A LOS ASPIRANTES Y/O  LOS DEPOSITARIOS PROVISIONALES.</t>
  </si>
  <si>
    <t>KATHERINE LICETH PEREZ VARGAS</t>
  </si>
  <si>
    <t>kperez@saesas.gov.co</t>
  </si>
  <si>
    <t>PRESTAR SERVICIOS PROFESIONALES, CON AUTONOMÍA TÉCNICA Y ADMINISTRATIVA PARA REALIZAR  REVISIÓN, DIAGNÓSTICO, DEPURACIÓN, ACTUALIZACIÓN Y ARMONIZACIÓN DE LAS BASES DE DATOS DE GERENCIA DE DEPOSITARIOS, MANDATARIOS Y LIQUDADORES</t>
  </si>
  <si>
    <t>PRESTAR SERVICIOS PROFESIONALES, CON AUTONOMÍA TÉCNICA Y ADMINISTRATIVA PARA LA GESTIÓN Y SEGUIMIENTO DE LOS PROCESOS FINANCIEROS Y CONTABLES SOLICITADOS POR LAS DISTINTAS ÁREAS DE LA SAE.</t>
  </si>
  <si>
    <t>PRESTAR SERVICIOS PROFESIONALES CON AUTONOMÍA TÉCNICA Y ADMINISTRATIVA  PARA  REALZAR EL PROCESO DE EVALUACIÓN TÉCNICA, SELECCIÓN Y SEGUIMIENTO  DE DEPOSITARIOS PROVISIONALES,GERENTES POPULARES Y/O DEPOSITARIOS POPULARES DENTRO DEL MARCO DE LAS CONVOCATORIAS ADELANTADAS POR LA DE DEPOSITARIOS, MANDATARIOS Y LIQUDADORES</t>
  </si>
  <si>
    <t xml:space="preserve">PRESTAR SERVICIOS PROFESIONALES CON AUTONOMÍA TÉCNICA Y ADMINISTRATIVA PARA LA GESTIÓN Y SEGUIMIENTO DE LOS PROCESOS DE RENDICIÓN DE CUENTAS ADMINISTRATIVAS DE LAS ACTIVIDADES REALIZADAS POR LOS DEPOSITARIOS PROVISIONALES,GERENTES POPULARES Y/O DEPOSITARIOS POPULARES </t>
  </si>
  <si>
    <t>Garantizar el acceso a la información pública, la participación ciudadana y el diálogo social entre la SAE y poblaciones constitucionalmente protegidas y demás grupos de interés, con principios de inclusión, transparencia, calidad y consistencia.</t>
  </si>
  <si>
    <t>PRESTAR SERVICIOS PROFESIONALES CON AUTONOMÍA TÉCNICA Y ADMINISTRATIVA  PARA ACOMPAÑAR LA GESTIÓN DOCUMENTAL DE LA GERENCIA DE DEPOSITARIOS, MANDATARIOS Y LIQUIDADORES, ASÍ COMO LAS DEMÁS ACTIVIDADES ADMINSTRATIVAS QUE REQUIERA EL ÁREA.</t>
  </si>
  <si>
    <t xml:space="preserve">PRESTAR SERVICIOS PROFESIONALES CON AUTONOMÍA TÉCNICA Y ADMINISTRATIVA PARA REALIZAR LA GESTIÓN ADMINISTRATIVA, DE CAPACITACIÓN, SEGUIMIENTO Y EVALUACIÓN DE LOS PROCESOS RELACIONADOS CON LA ASIGNACIÓN Y ADMINISTRACIÓN DE ACTIVOS DE GERENTES Y DEPOSITARIOS POPULARES. </t>
  </si>
  <si>
    <t>2025LG002; 2025LG003; 2025LG004;2025LG005; 2025LG038; 2025LG051; 2025LG064; 2025LG083</t>
  </si>
  <si>
    <t>LP-05 OPERADOR LOGÍSTICO CENTRO ORIENTE - ADMINISTRACIÓN, DESALOJOS, VISITAS, ENTRE OTROS DE BIENES
LP-05 OPERADOR LOGÍSTICO SUR - ADMINISTRACIÓN, DESALOJOS, VISITAS, ENTRE OTROS DE BIENES
LP-05 OPERADOR LOGÍSTICO CARIBE
LP-05 OPERADOR LOGÍSTICO OCCIDENTE - ADMINISTRACIÓN, DESALOJOS, VISITAS, ENTRE OTROS DE BIENES</t>
  </si>
  <si>
    <t>Gastos Operacionales</t>
  </si>
  <si>
    <t>A-8-3-9-08-01</t>
  </si>
  <si>
    <t>OTROS GASTOS INCAUTADO</t>
  </si>
  <si>
    <t>VICEPRESIDENCIA OPERATIVA / DIRECCIONES TERRITORIALES / DIRECCIÓN DE CONTROL DE INVENTARIO</t>
  </si>
  <si>
    <t>PRESTAR SERVICIOS DE LOGÍSTICA INTEGRAL NECESARIOS PARA EL DESARROLLO DE LAS ACTIVIDADES PROPIAS DE LA ADMINISTRACIÓN DE LOS ACTIVOS ENTREGADOS A LA SOCIEDAD DE ACTIVOS ESPECIALES S.A.S.</t>
  </si>
  <si>
    <t>SIN TRÁMITE</t>
  </si>
  <si>
    <t>ANYI SHARLYN MARIN CAMARGO</t>
  </si>
  <si>
    <t>Dimesión Productiva, Social y Ambiental_ 
Destinación de activos al fomento a la economía populoar.</t>
  </si>
  <si>
    <t>Democratizar los activos administrados por la SAE a través de mecanismos de dispodición temporal y definitiva que permitan la creación de valor publico, social y ambiental; aporten al desarrollo territorial y productivo y garanticen la función social y ecologixa de la propiedad.</t>
  </si>
  <si>
    <t>2025LG160;2025LG161</t>
  </si>
  <si>
    <t>LP-01 REALIZACIÓN AVALÚOS EN PROCESO;LP-01 REALIZACIÓN AVALÚOS EXTINTOS</t>
  </si>
  <si>
    <t>A-8-3-9-10-03;A-1-0-2-12-03</t>
  </si>
  <si>
    <t>REALIZACIÓN AVALÚOS EN PROCESO; REALIZACIÓN AVALÚOS EXTINTOS</t>
  </si>
  <si>
    <t>HONORARIOS AVALUOS INCAUTADO;HONORARIOS AVALUOS EXTINTO</t>
  </si>
  <si>
    <t>DIRECCIÓN DE ANALÍTICA, ALISTAMIENTO Y VALORACIÓN</t>
  </si>
  <si>
    <t>CONFORMAR UN INSTRUMENTO COMERCIAL MARCO PARA EL PROCESO DE AVALÚOS COMERCIALES, QUE PRESTEN LOS SERVICIOS CORRESPONDIENTES A LA ELABORACIÓN, ACTUALIZACIÓN, ASÍ COMO LA EMISIÓN DE CONCEPTOS TÉCNICOS DE VALOR Y ANÁLISIS DE DATOS EN VALORACIÓN SOBRE LOS BIENES INMUEBLES QUE TENGA SAE SAS BAJO SU ADMINISTRACIÓN.</t>
  </si>
  <si>
    <t>2025LG162;2025LG163</t>
  </si>
  <si>
    <t>LP-34 SANEAMIENTOS Y LEVANTAMIENTOS TOPOGRAFIA EN PROCESO;LP-34 SANEAMIENTOS Y LEVANTAMIENTOS TOPOGRAFIA EXTINTOS</t>
  </si>
  <si>
    <t>A-8-3-9-10-01;A-1-0-2-12-01</t>
  </si>
  <si>
    <t>SANEAMIENTOS Y LEVANTAMIENTOS TOPOGRAFIA EN PROCESO;SANEAMIENTOS Y LEVANTAMIENTOS TOPOGRAFIA EXTINTOS</t>
  </si>
  <si>
    <t>HONORARIOS VARIOS INCAUTADO;HONORARIOS ADMINISTRATIVOS EXTINTO</t>
  </si>
  <si>
    <t>80131700; 80131800; 80161600; 81101500</t>
  </si>
  <si>
    <t>CONFORMAR UN INSTRUMENTO COMERCIAL MARCO  PARA EL SANEAMIENTO INTEGRAL FÍSICO CATASTRAL, SOBRE AQUELLOS INMUEBLES URBANOS Y/O RURALES LOCALIZADOS EN TODO EL TERRITORIO NACIONAL Y QUE FORMEN PARTE DEL INVENTARIO DE SAE SAS</t>
  </si>
  <si>
    <t>2025LG164;2025LG165</t>
  </si>
  <si>
    <t>LP-25 ROM (REPARACIONES, OBRAS Y MANTENIMIENTO INCLUIDAS LAS DEMOLICIONES) EXTINTOS;LP-25 ROM (REPARACIONES, OBRAS Y MANTENIMIENTO INCLUIDAS LAS DEMOLICIONES) EN PROCESO</t>
  </si>
  <si>
    <t>A-2-0-4-05-01;A-8-3-9-07-02</t>
  </si>
  <si>
    <t>ROM (REPARACIONES, OBRAS Y MANTENIMIENTO INCLUIDAS LAS DEMOLICIONES) EXTINTOS;ROM (REPARACIONES, OBRAS Y MANTENIMIENTO INCLUIDAS LAS DEMOLICIONES) EN PROCESO</t>
  </si>
  <si>
    <t>MANTENIMIENTO DE BIENES INMUEBLES EXTINTO;ROM  Y DEMOLICIONES INCAUTADO</t>
  </si>
  <si>
    <t>80131700;81101508</t>
  </si>
  <si>
    <t>PRESTAR LOS SERVICIOS DE EJECUCIÓN DE ACTIVIDADES DE REPARACIONES, OBRAS Y MANTENIMIENTO (ROM), Y OTROS ARREGLOS LOCATIVOS A LOS INMUEBLES EN ADMINISTRACIÓN DE LA SAE SAS, DE ACUERDO CON LA DIRECCIÓN TERRITORIAL DONDE SE HAYA OFERTADO SUS SERVICIOS Y DONDE HAYAN SIDO ADJUDICADOS.</t>
  </si>
  <si>
    <t>2025LG143</t>
  </si>
  <si>
    <t>LP-26 ADMINSITRACIÓN Y DISPOSICIÓN FINAL DE SUSTANCIAS</t>
  </si>
  <si>
    <t>A-2-0-4-41-13;A-8-3-9-08-01</t>
  </si>
  <si>
    <t>ADMINSITRACIÓN Y DISPOSICIÓN FINAL DE SUSTANCIAS</t>
  </si>
  <si>
    <t xml:space="preserve">DIRECCION PARA LA DEMOCRATIZACION DE ACTIVOS MUEBLES </t>
  </si>
  <si>
    <t>7613160;76131600;77111505;77131701;80101708;80110000;20102303;22101527</t>
  </si>
  <si>
    <t xml:space="preserve">
CONFORMAR UN INSTRUMENTO COMERCIAL MARCO PARA LA PRESTACIÓN DEL SERVICIO DE DESTRUCCIÓN DE SUSTANCIAS QUÍMICAS Y MATERIAL MINERAL QUE SON ADMINISTRADOS POR LA SOCIEDAD DE ACTIVOS ESPECIALES S.A.S.</t>
  </si>
  <si>
    <t xml:space="preserve">DIRECCION DEMOCRATIZACION ACTIVOS MUEBLES </t>
  </si>
  <si>
    <t>JOSE IGNACIO ALEMAN BUITRAGO</t>
  </si>
  <si>
    <t>JALEMAN@SAESAS.GOV.CO</t>
  </si>
  <si>
    <t>N/A</t>
  </si>
  <si>
    <t>11191600;31132000</t>
  </si>
  <si>
    <t>REALIZAR LA VENTA DE MATERIAL FERROSO, RESULTANTE DE LA DESNATURALIZACION DE LOS BIENES MUEBLES, QUE SEAN OBJETO DE CHATARRIZACION, DE LA TIPOLOGIA MEDIOS DE TRANPORTE (AUTOMOTORES, EMBARCACIONES Y AERONAVES) Y DAO  (MUEBLES) ADMINISTRADOS POR LA SOCIEDAD DE ACTIVOS ESPECIALES S.A.S</t>
  </si>
  <si>
    <t>Fomentar las economías populares y comunitarias a partir de proyectos estratégicos que generen valor público, social y ambiental.</t>
  </si>
  <si>
    <t> 2025LG156
2025LG155</t>
  </si>
  <si>
    <t> LP-NA MEDIDAS DE COMPENSACIONCON CORALINA</t>
  </si>
  <si>
    <t>A-8-3-9-18-01;A-2-0-4-15-01</t>
  </si>
  <si>
    <t>SENTENCIAS Y/O CONCILIACIONES EXTINTO</t>
  </si>
  <si>
    <t xml:space="preserve">GASTOS OPERACIONALES </t>
  </si>
  <si>
    <t>CONTRATAR LOS SERVICIOS DE TRASPLANTE Y CUIDADO DE GUARDERÍAS DE CORALES EN LA ZONA DE REMOCIÓN DE LA EMBARCACIÓN MR. GOBY UBICADO EN LA ISLA DE SAN ANDRÉS Y PROVIDENCIA, EN CUMPLIMIENTO DEL PLAN DE COMPENSACIÓN AMBIENTAL Y MEDIDAS DE MITIGACIÓN APROBADO POR LA CORPORACIÓN PARA EL DESARROLLO SOSTENIBLE DEL ARCHIPIÉLAGO DE SAN ANDRÉS, PROVIDENCIA Y SANTA CATALINA – CORALINA, EN VIRTUD DE LA RESOLUCIÓN 403 DE 2015 EXPEDIDA POR LA MISMA.</t>
  </si>
  <si>
    <t>PRESTAR SERVICIOS PROFESIONALES CON AUTONOMÍA TÉCNICA Y ADMINISTRATIVA, PARA BRINDAR ASESORIA ESTRATEGICA JURIDICA QUE SEA REQUERIDA POR LA SAE S.A.S</t>
  </si>
  <si>
    <t>PRESTAR SERVICIOS PROFESIONALES CON AUTONOMÍA TÉCNICA Y ADMINISTRATIVA, PARA APOYAR A LA VICEPRESIDENCIA DE SOCIEDADES EN LOS TEMAS PROPIOS DE SU GESTIÓN</t>
  </si>
  <si>
    <t>PRESTACIÓN DE SERVICIOS PROFESIONALES CON AUTONOMIA TECNICA Y ADMINISTRATIVA PARA ACOMPAÑAMIENTO A LA SAE EN EL PROCESO DE REVISIÓN NORMATIVA QUE PERMITA CONSOLIDAR EL MODELO DE APROVECHAMIENTO SOCIAL DE LOS ACTIVOS ILÍCITOS VINCULADOS A PROCESOS DE EXTINCIÓN DE DOMINIO, ADMINISTRADOS POR LA SAE, ENFOCADO EN EL APROVECHAMIENTO SOCIAL DE LOS BIENES.</t>
  </si>
  <si>
    <t>PRESTAR SERVICIOS PROFESIONALES CON AUTONOMÍA TÉCNICA Y ADMINISTRATIVA, PARA BRINDAR ASESORÍA EN TEMAS RELACIONADOS CON LA MITIGACIÓN DE LOS RIESGOS JURÍDICOS DERIVADOS DEL ACOMPAÑAMIENTO A LAS DILIGENCIAS DE INCAUTACIÓN PARA GARANTIZAR LA CALIDAD Y SEGURIDAD DE LA INFORMACIÓN ENTREGADA A LA SAE S.A.S EN SU CONDICIÓN DE ADMINISTRADOR DEL FONDO PARA LA REHABILITACIÓN SOCIAL Y LUCHA CONTRA EL CRIMEN ORGANIZADO – FRISCO.</t>
  </si>
  <si>
    <t>2025LG086</t>
  </si>
  <si>
    <t>LP APOYO A LA GESTIÓN DE LOS PROCESOS DE LA VC</t>
  </si>
  <si>
    <t>APOYO A LA GESTIÓN DE LOS PROCESOS DE LA VC</t>
  </si>
  <si>
    <t>VICEPRESIDENCIA CORPORATIVA</t>
  </si>
  <si>
    <t xml:space="preserve">PRESTAR SERVICIOS PROFESIONALES CON AUTONOMÍA TÉCNICA Y ADMINISTRATIVA, PARA APOYAR A LA VICEPRESIDENCIA CORPORATIVA EN LOS TEMAS PROPIOS DE SU GESTIÓN.
</t>
  </si>
  <si>
    <t>AURA ELVIRA GOMEZ MARTINEZ</t>
  </si>
  <si>
    <t>augomez@saesas.gov.co</t>
  </si>
  <si>
    <t>PRESTAR SERVICIOS PROFESIONALES CON AUTONOMÍA TÉCNICA Y ADMINISTRATIVA, PARA APOYAR A LA VICEPRESIDENCIA CORPORATIVA EN LOS TEMAS PROPIOS DE SU GESTIÓN.</t>
  </si>
  <si>
    <t>PRESTAR SERVICIOS PROFESIONALES CON AUTONOMIA TECNICA Y ADMINISTRATIVA  PARA ACOMPAÑAR JURIDICAMENTE A LA VICEPRESIDENCIA CORPORATIVA EN EL MARCO DE SU GESTIÓN.</t>
  </si>
  <si>
    <t xml:space="preserve">LP-16 SEGURIDAD INDUSTRIAL: ELEMENTOS DE PROTECCIÓN PERSONAL, SEÑALIZACIÓN PREVENTIVA, BRIGADAS DE EMERGENCIA, ELEMENTOS BOTIQUÍN, ENTRE OTROS.
</t>
  </si>
  <si>
    <t xml:space="preserve">A-2-0-4-04-03
</t>
  </si>
  <si>
    <t xml:space="preserve">ELEMENTOS DE SEGURIDAD INDUSTRIAL
</t>
  </si>
  <si>
    <t>SUMINISTRO DE EQUIPOS, ELEMENTOS DE PROTECCION PERSONAL  PARA LOS TRABAJORES DE LA SAE</t>
  </si>
  <si>
    <t>LP- HONORARIOS SERVICIOS PROFESIONALES PARA APOYO A LA GESTION DE LA  DIRECCION DE TALENTO HUMANO</t>
  </si>
  <si>
    <t>2025LG276</t>
  </si>
  <si>
    <t>LP-13 SERVICIOS DE CAPACITACION</t>
  </si>
  <si>
    <t>A-2-0-4-21-05</t>
  </si>
  <si>
    <t>SERVICIOS DE CAPACITACION</t>
  </si>
  <si>
    <t>80111504
80101702
86101710</t>
  </si>
  <si>
    <t>PRESTAR SERVICIOS DE CAPACITACIÓN, DIRIGIDO A LOS FUNCIONARIOS DE PLANTA DIRECTA DE LA SOCIEDAD DE ACTIVOS ESPECIALES</t>
  </si>
  <si>
    <t xml:space="preserve">CONTRATO </t>
  </si>
  <si>
    <t>VALOR</t>
  </si>
  <si>
    <t>Número de Línea</t>
  </si>
  <si>
    <t>PROGRAMADO</t>
  </si>
  <si>
    <t>RADICADO</t>
  </si>
  <si>
    <t>SUSCRITO</t>
  </si>
  <si>
    <t>SALDO DE LA LÍNEA</t>
  </si>
  <si>
    <t>002-2025</t>
  </si>
  <si>
    <t>001-2025</t>
  </si>
  <si>
    <t>004-2025</t>
  </si>
  <si>
    <t>007-2025</t>
  </si>
  <si>
    <t>011-2025</t>
  </si>
  <si>
    <t>009-2025</t>
  </si>
  <si>
    <t>010-2025</t>
  </si>
  <si>
    <t>008-2025</t>
  </si>
  <si>
    <t>006-2025</t>
  </si>
  <si>
    <t xml:space="preserve">PRESTAR LOS SERVICIOS DE ESTUDIOS DE SEGURIDAD PARA LOS ASPIRANTES A LOS DIFERENTES CARGOS DE LA PLANTA DE PERSONAL DE LA SOCIEDAD DE ACTIVOS ESPECIALES S.A.S. </t>
  </si>
  <si>
    <t>012-2025</t>
  </si>
  <si>
    <t>013-2025</t>
  </si>
  <si>
    <t>014-2025</t>
  </si>
  <si>
    <t>015-2025</t>
  </si>
  <si>
    <t>PRESTAR SERVICIOS PROFESIONALES CON AUTONOMÍA TÉCNICA Y ADMINISTRATIVA PARA ADELANTAR EL ANÁLISIS GEOGRÁFICO, CRUCES CATASTRALES E IDENTIFICACIÓN DE PREDIOS DE LOS INMUEBLES A CARGO DE LA DIRECCIÓN PARA LA DEMOCRATIZACIÓN DE ACTIVOS INMUEBLES RURALES</t>
  </si>
  <si>
    <t>PRESTAR SERVICIOS DE ACOMPAÑAMIENTO DE FORMA AUTONOMIA TECNICA Y ADMINISTRATIVA, EN MATERIA JURIDICO LABORAL A LA DIRECCIÓN DE TALENTO HUMANO Y A LA VICEPRESIDENCIA CORPORATIVA</t>
  </si>
  <si>
    <t>2025LG191</t>
  </si>
  <si>
    <t>LP-23 PAZ ADMINISTRACIÓN 
PORTAFOLIO (PAT)</t>
  </si>
  <si>
    <t>ADMINISTRACIÓN DE 
PORTAFOLIO</t>
  </si>
  <si>
    <t xml:space="preserve">Dirección de Proyectos </t>
  </si>
  <si>
    <t>93151605 - 93151501  - 93121705</t>
  </si>
  <si>
    <t>PAZ</t>
  </si>
  <si>
    <t>DIRECCIÓN DE PROYECTOS</t>
  </si>
  <si>
    <t>JAIRO ANDRES RIVERA HENKER</t>
  </si>
  <si>
    <t>601 7431444</t>
  </si>
  <si>
    <t>jarivera@saesas.gov.co</t>
  </si>
  <si>
    <t>2025LG183</t>
  </si>
  <si>
    <t>LP-01 PAZ HONORARIOS AVALÚO 
DE BIENES</t>
  </si>
  <si>
    <t>A-1-0-2-12-03</t>
  </si>
  <si>
    <t>HONORARIOS AVALUOS</t>
  </si>
  <si>
    <t xml:space="preserve">80141501 -80111701 - 80161602
 </t>
  </si>
  <si>
    <t>Prestación de servicios para el avalúo de los bienes entregados por las FARC-EP en cumplimiento del Decreto Ley 903 de 2017</t>
  </si>
  <si>
    <t>Prestar servicios profesionales con autonomía técnica y administrativa para brindar apoyo en los procesos de viabilidad técnica y desarrollo agroproductivo en predios rurales a cargo de la Dirección de Activos Inmuebles Rurales.</t>
  </si>
  <si>
    <t>PRESTAR SERVICIOS PROFESIONALES CON AUTONOMÍA TÉCNICA Y ADMINISTRATIVA A LA DIRECCION PARA LA DEMORATIZACION DE ACTIVOS MUEBLES , CONSOLIDADO LAS CIFRAS EN SU INVENTARIO FRENTE A LAS DEMAS AREAS DE LA ENTIDAD</t>
  </si>
  <si>
    <t xml:space="preserve">PRESTAR SERVICIOS PROFESIONALES CON AUTONOMÍA TÉCNICA Y ADMINISTRATIVA PARA APOYAR JURIDICAMENTE EN LOS PROCESOS DE LA DIRECCION PARA LA DEMOCRATIZACION DE ACTIVOS INMUEBLES URBANOS </t>
  </si>
  <si>
    <t>MARIA CATALINA SERRANO RICO</t>
  </si>
  <si>
    <t>mcserrano@saesas.gov.co</t>
  </si>
  <si>
    <t xml:space="preserve">PRESTAR SERVICIOS PROFESIONALES CON AUTONOMÍA TÉCNICA Y ADMINISTRATIVA PARA APOYAR EN LOS PROCESOS DE LA DIRECCION PARA LA DEMOCRATIZACION DE ACTIVOS INMUEBLES URBANOS </t>
  </si>
  <si>
    <t>2025LG302</t>
  </si>
  <si>
    <t>LP-01 PRESTACION DE SERVICIOS DE CONSULTORIA PARA LA ACTUALIZACION DE LA NORMA ISO 27001</t>
  </si>
  <si>
    <t>A-2-0-4-41-13</t>
  </si>
  <si>
    <t>Prestación del servicio de Implementación, auditoría interna y auditoria de certificación para la norma ISO 27001:2022 con alcance en "Monitoreo y control de las actividades ejecutadas por Infraestructura a nivel tecnológico</t>
  </si>
  <si>
    <t>años</t>
  </si>
  <si>
    <t>HARDWARE EXTINTO</t>
  </si>
  <si>
    <t>A-2-0-4-01-06</t>
  </si>
  <si>
    <t>MODIFICADO</t>
  </si>
  <si>
    <t>OK</t>
  </si>
  <si>
    <t>PENDIENTE</t>
  </si>
  <si>
    <t>si</t>
  </si>
  <si>
    <t>Contratar los servicios para la constitución de un patrimonio autónomo a través de una fiducia en cumplimiento del artículo 3 del Decreto Ley 903 de 2017 y la designación de su administración a la Sociedad de Activos Especiales S.A.S., por el artículo 1 del Decreto 1407 de 2017</t>
  </si>
  <si>
    <t>Etiquetas de columna</t>
  </si>
  <si>
    <t>Total general</t>
  </si>
  <si>
    <t>Etiquetas de fila</t>
  </si>
  <si>
    <t>Cuenta de RADICADO</t>
  </si>
  <si>
    <t xml:space="preserve">Cuenta de CONTRATO </t>
  </si>
  <si>
    <t>OBJETO</t>
  </si>
  <si>
    <t>CONTRATACIÓN DIRECTA</t>
  </si>
  <si>
    <t>CONTRATACIÓN EXPEDITA</t>
  </si>
  <si>
    <t>CONVOCATORIA PÚBLICA</t>
  </si>
  <si>
    <t>ADQUISICIÓN A TRAVÉS DE LOS MECANISMOS DE AGREGACIÓN DE DEMANDA</t>
  </si>
  <si>
    <t>MODALIDAD</t>
  </si>
  <si>
    <t>SUMINISTRAR LAS HERRAMIENTAS Y ELEMENTOS DE FERRETERIA, MATERIALES ELECTRICOS,ELECTRONICOS NECESARIOS PARA EL FUNCIONAMIENTO DE TODAS LAS SEDES DE LA SAE SAS</t>
  </si>
  <si>
    <t>NÚMERO DE LÍNEA</t>
  </si>
  <si>
    <t>OMAR PINZON FLOREZ</t>
  </si>
  <si>
    <t>PRESTAR SERVICIOS PROFESIONALES CON AUTONOMÍA TÉCNICA Y ADMINISTRATIVA PARA BRINDAR APOYO EN LOS PROCESOS DE VIABILIDAD TÉCNICA Y DESARROLLO AGROPRODUCTIVO EN PREDIOS RURALES A CARGO DE LA DIRECCIÓN DE ACTIVOS INMUEBLES RURALES.</t>
  </si>
  <si>
    <t xml:space="preserve">PRESTAR SERVICIOS PROFESIONALES CON AUTONOMÍA TÉCNICA Y ADMINISTRATIVA PARA BRINDAR ACOMPAÑAMIENTO JURÍDICO DE LOS PROCESOS ASIGNADOS A LA DIRECCIÓN PARA LA DEMOCRATIZACIÓN DE ACTIVOS INMUEBLES RURALES.
 </t>
  </si>
  <si>
    <t>SUBASTA INVERSA</t>
  </si>
  <si>
    <t>ORDEN DE SERVICIO O COMPRA</t>
  </si>
  <si>
    <t>CONTRATAR LOS SERVICIOS PARA LA CONSTITUCIÓN DE UN PATRIMONIO AUTÓNOMO A TRAVÉS DE UNA FIDUCIA EN CUMPLIMIENTO DEL ARTÍCULO 3 DEL DECRETO LEY 903 DE 2017 Y LA DESIGNACIÓN DE SU ADMINISTRACIÓN A LA SOCIEDAD DE ACTIVOS ESPECIALES S.A.S., POR EL ARTÍCULO 1 DEL DECRETO 1407 DE 2017</t>
  </si>
  <si>
    <t>PRESTACIÓN DE SERVICIOS PARA EL AVALÚO DE LOS BIENES ENTREGADOS POR LAS FARC-EP EN CUMPLIMIENTO DEL DECRETO LEY 903 DE 2017</t>
  </si>
  <si>
    <t>Cuenta de Fecha estimada de inicio de proceso de selección (mes)</t>
  </si>
  <si>
    <t>JOHN ALBEYRO PEÑA CARREÑO</t>
  </si>
  <si>
    <t>JUAN BAUTISTA RIVAS RAMOS</t>
  </si>
  <si>
    <t>2025LG009</t>
  </si>
  <si>
    <t>HONORARIOS ASESORIA Y APOYO</t>
  </si>
  <si>
    <t>2025LG142</t>
  </si>
  <si>
    <t>LP-01 HONORARIOS DE SERVICIOS</t>
  </si>
  <si>
    <t>VICEPRESIDENCIA OPERATIVA</t>
  </si>
  <si>
    <t>2025LG013</t>
  </si>
  <si>
    <t>LP-01 SERVICIOS DE APOYO A LA GESTIÓN DE LA OAP</t>
  </si>
  <si>
    <t>Prestar servicios profesionales especializados con autonomía técnica y administrativa para gestionar, acompañar y articular el relacionamiento y comunicación interinstitucional con entidades, agencias, organizaciones y organismos del orden territorial, nacional e internacional, en aras de apoyar el desarrollo de los proyectos a cargo de la Dirección de Proyectos.</t>
  </si>
  <si>
    <t>marzo</t>
  </si>
  <si>
    <t>abril</t>
  </si>
  <si>
    <t>meses</t>
  </si>
  <si>
    <t>Prestar servicios profesionales especializados con autonomía técnica y administrativa para gestionar, acompañar y articular las mediciones de valor público, con el propósito de apoyar el desarrollo de los proyectos a cargo de la Dirección de Proyectos.</t>
  </si>
  <si>
    <t>Prestar servicios profesionales para brindar asesoría jurídica a la vicepresidencia operativa de la SAE S.A.S en los temas propios de su gestión</t>
  </si>
  <si>
    <t>EDUARDO ALFONSO BARON GOMÉZ</t>
  </si>
  <si>
    <t>edbaron@saesas.gov.co</t>
  </si>
  <si>
    <t>DÍAS</t>
  </si>
  <si>
    <t>BOGOTÁ</t>
  </si>
  <si>
    <t>Daniel Sebastian Contreras Ortiz</t>
  </si>
  <si>
    <t>Prestar servicios profesionales para la validación de información predial (catastral y comercial) requerida para el paso a venta del portafolio asignado y cumplimiento de metas 2025 a cargo de la Dirección Comercial.</t>
  </si>
  <si>
    <t>Prestar servicios profesionales en calidad de abogado para el cierre de la liquidación del contrato 011-2015 incluyendo la generación de actividades y estrategias tendientes a la finalización por formalización o terminación de los negocios en trámite, proyección de do-cumentos contractuales, oficios y otro material propio de la gestión.</t>
  </si>
  <si>
    <t>DIRECCIÓN DE PLANEACIÓN Y PROSPECTIVA</t>
  </si>
  <si>
    <t>DEVUELTO PARA CORRECCIONES</t>
  </si>
  <si>
    <t>DIEGO ROMERO RIVERA</t>
  </si>
  <si>
    <t>diromero@saesas.gov.co</t>
  </si>
  <si>
    <t>PRESTAR SERVICIOS PROFESIONALES CON AUTONOMÍA TÉCNICA Y ADMINISTRATIVA, PARA APOYAR A LA DIRECCIÓN DE CONTRATACIÓN EN LOS TEMAS PROPIOS DE SU GESTIÓN.</t>
  </si>
  <si>
    <t>Estandarizar, actualizar y mejorar la información del inventario de activos administrados por la SAE con criterios de calidad y oportunidad.</t>
  </si>
  <si>
    <t>2025LG229</t>
  </si>
  <si>
    <t>LP-18 GESTIÓN AMBIENTAL CONTROL DE ASPECTOS E IMPACTOS AMBIENTALES, EDUCACIÓN AMBIENTAL Y EVALUACIÓN DEL SISTEMA</t>
  </si>
  <si>
    <t>Gastos generales</t>
  </si>
  <si>
    <t>A-2-0-4-21-06</t>
  </si>
  <si>
    <t>SISTEMA DE GESTIÓN AMBIENTAL</t>
  </si>
  <si>
    <t>CONTRATAR EL SERVICIO DE FUMIGACIÓN, DESINFECCIÓN, DESRATIZACIÓN Y CONTROL DE PLAGAS PARA LAS SEDES ADMINISTRATIVAS Y DEMÁS LOCACIONES DE LA SOCIEDAD DE ACTIVOS ESPECIALES S.A.S.</t>
  </si>
  <si>
    <t xml:space="preserve">C. Contratación Expedita </t>
  </si>
  <si>
    <t>AURA ELVIRA GÓMEZ MARTÍNEZ</t>
  </si>
  <si>
    <t>016-2025</t>
  </si>
  <si>
    <t xml:space="preserve">
A-8-3-9-10-01</t>
  </si>
  <si>
    <t>Prestar servicios profesionales especializados con autonomía técnica y administrativa para implementar y ejecutar las mediciones de valor público, con la finalidad de apoyar la coordinación y ejecución de los proyectos asignados a la Dirección de Proyectos.</t>
  </si>
  <si>
    <t>A-1-0-2-12-01;A-8-3-9-10-01</t>
  </si>
  <si>
    <t xml:space="preserve">HONORARIOS ASESORIA Y APOYO - </t>
  </si>
  <si>
    <t>HONORARIOS ADMINISTRATIVOS EXTINTO - HONORARIOS VARIOS INCAUTADO</t>
  </si>
  <si>
    <t>Prestar servicios profesionales especializados con autonomía técnica y administrativa para gestionar y desarrollar los procesos administrativos requeridos por la Dirección de Proyectos, con el fin de optimizar la ejecución de sus funciones y objetivos estratégicos.</t>
  </si>
  <si>
    <t>Contratar la prestación de servicios de apoyo a la gestión con autonomía técnica y administrativa para acompañar las actividades trasversales de la Vicepresidencia de Activos Muebles e Inmuebles de la Sociedad de Activos Especiales SAS</t>
  </si>
  <si>
    <t>Dimensión financiera_ Control financiero y administrativo de los recursos económicos de la Sociedad y de los activos que administra.</t>
  </si>
  <si>
    <t xml:space="preserve">Garantizar la efectiva transferencia de recursos a la Nación, en concordancia con lo establecido en la ley y contribuyendo a los propósitos del Plan Nacional de Desarrollo. </t>
  </si>
  <si>
    <t>2025LG305</t>
  </si>
  <si>
    <t>LP-01 HONORARIOS DE SERVICIOS PROFESIONALES PARA EL APOYO A LA GESTIÓN DE LA GERENCIA DE AUDITORIA A SOCIEDADES</t>
  </si>
  <si>
    <t>GERENCIA DE AUDITORIA A SOCIEDADES</t>
  </si>
  <si>
    <t>$ 200.000.000</t>
  </si>
  <si>
    <t xml:space="preserve">Prestar servicios profesionales con autonomía técnica a la Gerencia de Auditoría a Sociedades, para apoyar el desarrollo y ejecución de las auditorías correspondientes al Plan anual de Auditoría 2025. </t>
  </si>
  <si>
    <t>SEBASTIAN ALFONSO GOMEZ LOZANO</t>
  </si>
  <si>
    <t>segomez@saesas.gov.co</t>
  </si>
  <si>
    <t>Dimensión Procesos_
Inventario de activos y portafolios administrados por la SAE actualizados</t>
  </si>
  <si>
    <t>Prestar servicios técnico asistenciales como apoyo a la gestión del grupo de defensa judicial, así como la atención a requerimientos de la Dirección de Asuntos Legales Misionales</t>
  </si>
  <si>
    <t>Sí</t>
  </si>
  <si>
    <t>PRESTAR SERVICIOS PROFESIONALES ESPECIALIZADOS CON AUTONOMÍA TÉCNICA Y ADMINISTRATIVA, PARA APOYAR A LA DIRECCIÓN DE CONTRATACIÓN EN LOS TEMAS PROPIOS DE SU GESTIÓN.</t>
  </si>
  <si>
    <t>Prestar servicios profesionales con autonomía técnica y administrativa para brindar acompañamiento jurídico de los procesos asignados a la Dirección para la Democratización de Activos Inmuebles Rurales.</t>
  </si>
  <si>
    <t>035-2025</t>
  </si>
  <si>
    <t>017-2025</t>
  </si>
  <si>
    <t>018-2025</t>
  </si>
  <si>
    <t>019-2025</t>
  </si>
  <si>
    <t>020-2025</t>
  </si>
  <si>
    <t>021-2025</t>
  </si>
  <si>
    <t>023-2025</t>
  </si>
  <si>
    <t>024-2025</t>
  </si>
  <si>
    <t>025-2025</t>
  </si>
  <si>
    <t>026-2025</t>
  </si>
  <si>
    <t>027-2025</t>
  </si>
  <si>
    <t>028-2025</t>
  </si>
  <si>
    <t>029-2025</t>
  </si>
  <si>
    <t>030-2025</t>
  </si>
  <si>
    <t>031-2025</t>
  </si>
  <si>
    <t>032-2025</t>
  </si>
  <si>
    <t>033-2025</t>
  </si>
  <si>
    <t>034-2025</t>
  </si>
  <si>
    <t>037-2025</t>
  </si>
  <si>
    <t>CONTRATO VIGENTE</t>
  </si>
  <si>
    <t>036-2021</t>
  </si>
  <si>
    <t>064-2022</t>
  </si>
  <si>
    <t>044-2024</t>
  </si>
  <si>
    <t>138-2023</t>
  </si>
  <si>
    <t>082-2024</t>
  </si>
  <si>
    <t>061-2024</t>
  </si>
  <si>
    <t>084-2021</t>
  </si>
  <si>
    <t>131-2024</t>
  </si>
  <si>
    <t>122-2024</t>
  </si>
  <si>
    <t>040-2021</t>
  </si>
  <si>
    <t>296-2023</t>
  </si>
  <si>
    <t>016-2017</t>
  </si>
  <si>
    <t>066-2020</t>
  </si>
  <si>
    <t>049-2023</t>
  </si>
  <si>
    <t>085-2021</t>
  </si>
  <si>
    <t>095-2024</t>
  </si>
  <si>
    <t>186-2024</t>
  </si>
  <si>
    <t>086-2020</t>
  </si>
  <si>
    <t>153-2024
154-2024
155-2024</t>
  </si>
  <si>
    <t>103-2024
104-2024
105-2024
106-2024
107-2024
108-2024
195-2024</t>
  </si>
  <si>
    <t>20/05/2025
20/05/2025
15/05/2025</t>
  </si>
  <si>
    <t>25/09/2025
25/09/2025
19/09/2025
20/09/2025
23/09/2025
24/09/2025
08/12/2027</t>
  </si>
  <si>
    <t>FECHA DE TERMINACIÓN</t>
  </si>
  <si>
    <t>039-2024</t>
  </si>
  <si>
    <t>Prestar servicios profesionales a la Gerencia de Auditoría a Sociedades, para apoyar el desarrollo y ejecución de las auditorías correspondientes al Plan anual de Auditoría 2025.</t>
  </si>
  <si>
    <t>Prestar servicios profesionales con autonomía técnica y administrativa, para el seguimiento y control de los asuntos relacionados con la Dirección Financiera de la Sociedad de Activos Especiales S.A.S.</t>
  </si>
  <si>
    <t xml:space="preserve">Aunar esfuerzos entre la Sociedad de Activos Especiales- SAE SAS y la Unidad Nacional de Protección – UNP –, para el fortalecimiento de la seguridad de personas y comunidades en riesgo a nivel nacional. </t>
  </si>
  <si>
    <t>no tiene erogación presupuestaL</t>
  </si>
  <si>
    <t>040-2025</t>
  </si>
  <si>
    <t>2025LG002;2025LG003;2025LG004;2025LG005</t>
  </si>
  <si>
    <t xml:space="preserve">LP-05 ADMINISTRACION,DESALOJOS, VISITAS, ENTRE OTROS BIENES </t>
  </si>
  <si>
    <t xml:space="preserve">OTROS GASTOS INCAUTADOS </t>
  </si>
  <si>
    <t>DIRECCION DE CONTROL DEL INVENTARIO</t>
  </si>
  <si>
    <t>$2.000.000.000</t>
  </si>
  <si>
    <t>81141600;78111800;31162800</t>
  </si>
  <si>
    <t>Contratar la prestación de los servicios de transporte y logística integral necesarios para el desarrollo y atención de las Diligencias de Secuestro programadas por la Fiscalía General de la Nación a nivel Nacional en el marco de las acciones propias del proceso de extinción dominio, para garantizar los procesos de recibo, registro y aseguramiento de los activos por parte de la Direccion de Control del Inventario de la SAE</t>
  </si>
  <si>
    <t>MARLENY ELIZABETH SALDAÑA DAVIDSON</t>
  </si>
  <si>
    <t>msaldana@saesas.gov.co</t>
  </si>
  <si>
    <t>Prestar servicios profesionales para brindar acompañamiento jurídico en el Grupo Interno de Trabajo de Defensa Judicial y Cartera de la Dirección de Asuntos Legales Misionales</t>
  </si>
  <si>
    <t>Mayo</t>
  </si>
  <si>
    <t>NA</t>
  </si>
  <si>
    <t>Dirección de Asuntos Legales Misionales</t>
  </si>
  <si>
    <t>Posicionar a la SAE como una Entidad líder en la administración transparente de activos a nivel local, nacional e internacional con enfoque social, ambiental y productivo.</t>
  </si>
  <si>
    <t>Prestar los servicios profesionales para apoyar a la Dirección de Planeación y Prospectiva de la Sociedad de Activos Especiales SAE S.A.S. en el diseño e implementación de lineamientos, estrategias y metodologías relacionadas con el modelo de prospectiva de la Entidad y en la implementación de la metodología para la estructuración del Plan de Continuidad del Negocio, en el marco de la Estrategia Institucional y demás lineamientos de Ley.</t>
  </si>
  <si>
    <t>Prestar los servicios profesionales para asesorar a la Dirección de Planeación y Prospectiva de la Sociedad de Activos Especiales SAE S.A.S. en el diseño e implementación de lineamientos, estrategias y metodologías relacionadas con el modelo de Transformación Digital de la SAE en el marco de la Estrategia Institucional.</t>
  </si>
  <si>
    <t>PRESTAR SERVICIOS PROFESIONALES CON AUTONOMÍA TÉCNICA Y ADMINISTRATIVA, PARA APOYAR JURÍDICAMENTE A LA DIRECCIÓN DE CONTRATACIÓN EN LOS TEMAS PROPIOS DE SU GESTIÓN</t>
  </si>
  <si>
    <t>PRESTAR SERVICIOS PROFESIONALES ESPECIALIZADOS CON AUTONOMÍA TÉCNICA Y ADMINISTRATIVA, PARA APOYAR JURÍDICAMENTE A LA DIRECCIÓN DE CONTRATACIÓN EN LOS TEMAS PROPIOS DE SU GESTIÓN.</t>
  </si>
  <si>
    <t>041-2025</t>
  </si>
  <si>
    <t>PORCENTAJE</t>
  </si>
  <si>
    <t>PORCENTAJE DE RADICACIÓN</t>
  </si>
  <si>
    <t>SUSCRITOS</t>
  </si>
  <si>
    <t>EN TRÁMITE</t>
  </si>
  <si>
    <t>CANTIDAD DE LÍNEAS PACA</t>
  </si>
  <si>
    <t>RADICACIÓN</t>
  </si>
  <si>
    <t>PROCESOS EN TRÁMITE</t>
  </si>
  <si>
    <t>LINEAS PACA CON CONTRATO SUSCRITO</t>
  </si>
  <si>
    <t>SIN SUSCRIBIR</t>
  </si>
  <si>
    <t>LINEAS EN TRÁMITE</t>
  </si>
  <si>
    <t>Total SI</t>
  </si>
  <si>
    <t xml:space="preserve">PORCENTAJE PACA COMPROMETIDO </t>
  </si>
  <si>
    <t>PORCENTAJE RADICADO POR DIRECCIÓN</t>
  </si>
  <si>
    <t>PORCENTAJE COMPROMETIDO</t>
  </si>
  <si>
    <t>PORCENTAJE RADICADO</t>
  </si>
  <si>
    <t>Suma de Valor total estimado</t>
  </si>
  <si>
    <t>Suma de VALOR</t>
  </si>
  <si>
    <t>PORCENTAJE PENDIENTE POR RADICAR</t>
  </si>
  <si>
    <t>PORCENTAJE DE PACA</t>
  </si>
  <si>
    <t>Cuenta de Formas de contratación
a. Orden de Servicio o Compra
b. Contratación Directa
c. Contratación Expedita 
d. Subasta inversa
e. Convocatoria Publica 
f. Adquisición a través de los mecanismos de agregación de demanda</t>
  </si>
  <si>
    <t>31/12/20258</t>
  </si>
  <si>
    <t>PRESTAR SERVICIOS DE ACOMPAÑAMIENTO A LA SAE S.A.S., EN LA APLICACIÓN DE UNA METODOLOGÍA DE PLANEACIÓN ESTRATÉGICA Y PROSPECTIVA QUE PERMITA ENFOCARSE EN LOS RESULTADOS MEDIANTE LA TRANSFORMACIÓN DIGITAL DE SUS PROCESOS, CON UN ENFOQUE DE VALOR SOCIAL, ECONÓMICO Y AMBIENTAL.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</si>
</sst>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14" x14ac:knownFonts="1">
    <font>
      <sz val="11"/>
      <color theme="1"/>
      <name val="Aptos Narrow"/>
      <family val="2"/>
      <scheme val="minor"/>
    </font>
    <font>
      <sz val="11"/>
      <color theme="1"/>
      <name val="Aptos Narrow"/>
      <family val="2"/>
      <scheme val="minor"/>
    </font>
    <font>
      <u/>
      <sz val="11"/>
      <color theme="10"/>
      <name val="Aptos Narrow"/>
      <family val="2"/>
      <scheme val="minor"/>
    </font>
    <font>
      <sz val="11"/>
      <color theme="1"/>
      <name val="Arial"/>
      <family val="2"/>
    </font>
    <font>
      <b/>
      <sz val="11"/>
      <color theme="1"/>
      <name val="Arial"/>
      <family val="2"/>
    </font>
    <font>
      <sz val="11"/>
      <color rgb="FF000000"/>
      <name val="Arial"/>
      <family val="2"/>
    </font>
    <font>
      <b/>
      <sz val="11"/>
      <color theme="0"/>
      <name val="Arial"/>
      <family val="2"/>
    </font>
    <font>
      <b/>
      <sz val="11"/>
      <name val="Arial"/>
      <family val="2"/>
    </font>
    <font>
      <u/>
      <sz val="11"/>
      <color theme="10"/>
      <name val="Arial"/>
      <family val="2"/>
    </font>
    <font>
      <sz val="11"/>
      <name val="Arial"/>
      <family val="2"/>
    </font>
    <font>
      <u/>
      <sz val="11"/>
      <name val="Arial"/>
      <family val="2"/>
    </font>
    <font>
      <sz val="11"/>
      <color theme="4" tint="0.79998168889431442"/>
      <name val="Aptos Narrow"/>
      <family val="2"/>
      <scheme val="minor"/>
    </font>
    <font>
      <b/>
      <sz val="11"/>
      <color theme="1"/>
      <name val="Aptos Narrow"/>
      <family val="2"/>
      <scheme val="minor"/>
    </font>
    <font>
      <sz val="11"/>
      <color theme="0"/>
      <name val="Aptos Narrow"/>
      <family val="2"/>
      <scheme val="minor"/>
    </font>
  </fonts>
  <fills count="16">
    <fill>
      <patternFill patternType="none"/>
    </fill>
    <fill>
      <patternFill patternType="gray125"/>
    </fill>
    <fill>
      <patternFill patternType="solid">
        <fgColor theme="0"/>
        <bgColor indexed="64"/>
      </patternFill>
    </fill>
    <fill>
      <patternFill patternType="solid">
        <fgColor rgb="FF6E1978"/>
        <bgColor indexed="64"/>
      </patternFill>
    </fill>
    <fill>
      <patternFill patternType="solid">
        <fgColor theme="0" tint="-0.249977111117893"/>
        <bgColor indexed="64"/>
      </patternFill>
    </fill>
    <fill>
      <patternFill patternType="solid">
        <fgColor rgb="FFBFBFBF"/>
        <bgColor rgb="FF000000"/>
      </patternFill>
    </fill>
    <fill>
      <patternFill patternType="solid">
        <fgColor theme="8" tint="0.79998168889431442"/>
        <bgColor indexed="64"/>
      </patternFill>
    </fill>
    <fill>
      <patternFill patternType="solid">
        <fgColor theme="9" tint="0.79998168889431442"/>
        <bgColor indexed="64"/>
      </patternFill>
    </fill>
    <fill>
      <patternFill patternType="solid">
        <fgColor theme="9" tint="0.79998168889431442"/>
        <bgColor rgb="FF000000"/>
      </patternFill>
    </fill>
    <fill>
      <patternFill patternType="solid">
        <fgColor theme="3" tint="0.89999084444715716"/>
        <bgColor indexed="64"/>
      </patternFill>
    </fill>
    <fill>
      <patternFill patternType="solid">
        <fgColor theme="3" tint="0.89999084444715716"/>
        <bgColor rgb="FF000000"/>
      </patternFill>
    </fill>
    <fill>
      <patternFill patternType="solid">
        <fgColor theme="9" tint="0.59999389629810485"/>
        <bgColor indexed="64"/>
      </patternFill>
    </fill>
    <fill>
      <patternFill patternType="solid">
        <fgColor rgb="FFFF99CC"/>
        <bgColor indexed="64"/>
      </patternFill>
    </fill>
    <fill>
      <patternFill patternType="solid">
        <fgColor theme="4" tint="0.79998168889431442"/>
        <bgColor theme="4" tint="0.79998168889431442"/>
      </patternFill>
    </fill>
    <fill>
      <patternFill patternType="solid">
        <fgColor theme="4" tint="0.79998168889431442"/>
        <bgColor indexed="64"/>
      </patternFill>
    </fill>
    <fill>
      <patternFill patternType="solid">
        <fgColor theme="0" tint="-0.14999847407452621"/>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thin">
        <color indexed="64"/>
      </left>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42" fontId="1" fillId="0" borderId="0" applyFont="0" applyFill="0" applyBorder="0" applyAlignment="0" applyProtection="0"/>
    <xf numFmtId="9" fontId="1" fillId="0" borderId="0" applyFont="0" applyFill="0" applyBorder="0" applyAlignment="0" applyProtection="0"/>
  </cellStyleXfs>
  <cellXfs count="328">
    <xf numFmtId="0" fontId="0" fillId="0" borderId="0" xfId="0"/>
    <xf numFmtId="0" fontId="3" fillId="2" borderId="0" xfId="0" applyFont="1" applyFill="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wrapText="1"/>
    </xf>
    <xf numFmtId="164" fontId="3" fillId="0" borderId="1" xfId="1" applyNumberFormat="1" applyFont="1" applyFill="1" applyBorder="1" applyAlignment="1">
      <alignment horizontal="center" vertical="center" wrapText="1"/>
    </xf>
    <xf numFmtId="0" fontId="5" fillId="5" borderId="4"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5" fillId="5" borderId="3" xfId="0" applyFont="1" applyFill="1" applyBorder="1" applyAlignment="1">
      <alignment horizontal="center" vertical="center" wrapText="1"/>
    </xf>
    <xf numFmtId="44" fontId="3" fillId="4" borderId="1" xfId="2" applyFont="1" applyFill="1" applyBorder="1" applyAlignment="1">
      <alignment horizontal="center" vertical="center" wrapText="1"/>
    </xf>
    <xf numFmtId="0" fontId="3" fillId="4" borderId="3" xfId="0" applyFont="1" applyFill="1" applyBorder="1" applyAlignment="1">
      <alignment horizontal="center" vertical="center" wrapText="1"/>
    </xf>
    <xf numFmtId="0" fontId="8" fillId="5" borderId="3" xfId="3" applyFont="1" applyFill="1" applyBorder="1" applyAlignment="1">
      <alignment horizontal="center" vertical="center" wrapText="1"/>
    </xf>
    <xf numFmtId="0" fontId="3" fillId="4" borderId="5"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9" fillId="4" borderId="5" xfId="0" applyFont="1" applyFill="1" applyBorder="1" applyAlignment="1">
      <alignment horizontal="center" vertical="center" wrapText="1"/>
    </xf>
    <xf numFmtId="17" fontId="5" fillId="5" borderId="4" xfId="0" applyNumberFormat="1" applyFont="1" applyFill="1" applyBorder="1" applyAlignment="1">
      <alignment horizontal="center" vertical="center"/>
    </xf>
    <xf numFmtId="0" fontId="5" fillId="5" borderId="3" xfId="0" applyFont="1" applyFill="1" applyBorder="1" applyAlignment="1">
      <alignment horizontal="center" vertical="center"/>
    </xf>
    <xf numFmtId="0" fontId="8" fillId="5" borderId="3" xfId="3" applyFont="1" applyFill="1" applyBorder="1" applyAlignment="1">
      <alignment horizontal="center" vertical="center"/>
    </xf>
    <xf numFmtId="164" fontId="9" fillId="0" borderId="1" xfId="1" applyNumberFormat="1" applyFont="1" applyFill="1" applyBorder="1" applyAlignment="1">
      <alignment horizontal="center" vertical="center" wrapText="1"/>
    </xf>
    <xf numFmtId="0" fontId="9" fillId="4" borderId="1" xfId="0" applyFont="1" applyFill="1" applyBorder="1" applyAlignment="1">
      <alignment horizontal="center" vertical="center" wrapText="1"/>
    </xf>
    <xf numFmtId="0" fontId="3" fillId="4" borderId="5" xfId="0" applyFont="1" applyFill="1" applyBorder="1" applyAlignment="1">
      <alignment horizontal="center" vertical="center"/>
    </xf>
    <xf numFmtId="0" fontId="3" fillId="4" borderId="1" xfId="0" applyFont="1" applyFill="1" applyBorder="1" applyAlignment="1">
      <alignment horizontal="center" vertical="center"/>
    </xf>
    <xf numFmtId="0" fontId="5" fillId="5" borderId="4" xfId="0" applyFont="1" applyFill="1" applyBorder="1" applyAlignment="1">
      <alignment horizontal="center" vertical="center"/>
    </xf>
    <xf numFmtId="0" fontId="9" fillId="5" borderId="3"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9" fillId="5" borderId="4" xfId="0" applyFont="1" applyFill="1" applyBorder="1" applyAlignment="1">
      <alignment horizontal="justify" vertical="center" wrapText="1"/>
    </xf>
    <xf numFmtId="0" fontId="8" fillId="5" borderId="4" xfId="3" applyFont="1" applyFill="1" applyBorder="1" applyAlignment="1">
      <alignment horizontal="center" vertical="center" wrapText="1"/>
    </xf>
    <xf numFmtId="0" fontId="3" fillId="0" borderId="0" xfId="0" applyFont="1" applyAlignment="1">
      <alignment horizontal="center" vertical="center" wrapText="1"/>
    </xf>
    <xf numFmtId="164" fontId="3" fillId="0" borderId="1" xfId="1" applyNumberFormat="1" applyFont="1" applyBorder="1" applyAlignment="1">
      <alignment horizontal="center" vertical="center" wrapText="1"/>
    </xf>
    <xf numFmtId="0" fontId="3" fillId="2" borderId="0" xfId="0" applyFont="1" applyFill="1" applyAlignment="1">
      <alignment horizontal="center" vertical="center" wrapText="1"/>
    </xf>
    <xf numFmtId="164" fontId="3" fillId="0" borderId="0" xfId="1" applyNumberFormat="1" applyFont="1" applyAlignment="1">
      <alignment horizontal="center" vertical="center" wrapText="1"/>
    </xf>
    <xf numFmtId="164" fontId="9" fillId="0" borderId="1" xfId="1" applyNumberFormat="1"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3" xfId="0" applyFont="1" applyBorder="1" applyAlignment="1">
      <alignment horizontal="center" vertical="center" wrapText="1"/>
    </xf>
    <xf numFmtId="164" fontId="9" fillId="0" borderId="3" xfId="0" applyNumberFormat="1" applyFont="1" applyBorder="1" applyAlignment="1">
      <alignment horizontal="center" vertical="center" wrapText="1"/>
    </xf>
    <xf numFmtId="0" fontId="9" fillId="0" borderId="5" xfId="0" applyFont="1" applyBorder="1" applyAlignment="1">
      <alignment horizontal="center" vertical="center" wrapText="1"/>
    </xf>
    <xf numFmtId="0" fontId="9" fillId="0" borderId="4" xfId="0" applyFont="1" applyBorder="1" applyAlignment="1">
      <alignment horizontal="center" vertical="center" wrapText="1"/>
    </xf>
    <xf numFmtId="164" fontId="9" fillId="0" borderId="4" xfId="0" applyNumberFormat="1" applyFont="1" applyBorder="1" applyAlignment="1">
      <alignment horizontal="center" vertical="center" wrapText="1"/>
    </xf>
    <xf numFmtId="0" fontId="9" fillId="0" borderId="0" xfId="0" applyFont="1" applyAlignment="1">
      <alignment horizontal="center" vertical="center" wrapText="1"/>
    </xf>
    <xf numFmtId="164" fontId="9" fillId="0" borderId="1" xfId="0" applyNumberFormat="1" applyFont="1" applyBorder="1" applyAlignment="1">
      <alignment horizontal="center" vertical="center" wrapText="1"/>
    </xf>
    <xf numFmtId="0" fontId="9" fillId="0" borderId="0" xfId="0" applyFont="1" applyAlignment="1">
      <alignment horizontal="center" vertical="center"/>
    </xf>
    <xf numFmtId="0" fontId="9" fillId="5" borderId="3" xfId="0" applyFont="1" applyFill="1" applyBorder="1" applyAlignment="1">
      <alignment horizontal="center" vertical="center"/>
    </xf>
    <xf numFmtId="0" fontId="9" fillId="4" borderId="0" xfId="0" applyFont="1" applyFill="1" applyAlignment="1">
      <alignment horizontal="center" vertical="center" wrapText="1"/>
    </xf>
    <xf numFmtId="0" fontId="9" fillId="5" borderId="6"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3" fillId="4" borderId="0" xfId="0" applyFont="1" applyFill="1" applyAlignment="1">
      <alignment horizontal="center" vertical="center" wrapText="1"/>
    </xf>
    <xf numFmtId="0" fontId="5" fillId="5" borderId="1" xfId="0" applyFont="1" applyFill="1" applyBorder="1" applyAlignment="1">
      <alignment horizontal="center" vertical="center"/>
    </xf>
    <xf numFmtId="0" fontId="3" fillId="0" borderId="1" xfId="0" applyFont="1" applyBorder="1" applyAlignment="1">
      <alignment horizontal="center" vertical="center"/>
    </xf>
    <xf numFmtId="0" fontId="9" fillId="5" borderId="1" xfId="0" applyFont="1" applyFill="1" applyBorder="1" applyAlignment="1">
      <alignment horizontal="center" vertical="center"/>
    </xf>
    <xf numFmtId="1" fontId="3" fillId="0" borderId="0" xfId="0" applyNumberFormat="1" applyFont="1" applyAlignment="1">
      <alignment horizontal="center" vertical="center"/>
    </xf>
    <xf numFmtId="1" fontId="3" fillId="2" borderId="0" xfId="0" applyNumberFormat="1" applyFont="1" applyFill="1" applyAlignment="1">
      <alignment horizontal="center" vertical="center"/>
    </xf>
    <xf numFmtId="1" fontId="3" fillId="0" borderId="1" xfId="0" applyNumberFormat="1" applyFont="1" applyBorder="1" applyAlignment="1">
      <alignment horizontal="center" vertical="center"/>
    </xf>
    <xf numFmtId="0" fontId="9" fillId="7" borderId="1" xfId="0" applyFont="1" applyFill="1" applyBorder="1" applyAlignment="1">
      <alignment horizontal="center" vertical="center" wrapText="1"/>
    </xf>
    <xf numFmtId="0" fontId="3" fillId="7" borderId="1" xfId="0" applyFont="1" applyFill="1" applyBorder="1" applyAlignment="1">
      <alignment horizontal="center" vertical="center" wrapText="1"/>
    </xf>
    <xf numFmtId="0" fontId="5" fillId="8" borderId="3" xfId="0" applyFont="1" applyFill="1" applyBorder="1" applyAlignment="1">
      <alignment horizontal="center" vertical="center" wrapText="1"/>
    </xf>
    <xf numFmtId="0" fontId="9" fillId="9" borderId="1" xfId="0" applyFont="1" applyFill="1" applyBorder="1" applyAlignment="1">
      <alignment horizontal="center" vertical="center" wrapText="1"/>
    </xf>
    <xf numFmtId="0" fontId="9" fillId="10" borderId="3" xfId="0" applyFont="1" applyFill="1" applyBorder="1" applyAlignment="1">
      <alignment horizontal="center" vertical="center" wrapText="1"/>
    </xf>
    <xf numFmtId="0" fontId="9" fillId="9" borderId="5" xfId="0" applyFont="1" applyFill="1" applyBorder="1" applyAlignment="1">
      <alignment horizontal="center" vertical="center" wrapText="1"/>
    </xf>
    <xf numFmtId="0" fontId="3" fillId="9" borderId="1" xfId="0" applyFont="1" applyFill="1" applyBorder="1" applyAlignment="1">
      <alignment horizontal="center" vertical="center" wrapText="1"/>
    </xf>
    <xf numFmtId="0" fontId="5" fillId="10" borderId="3" xfId="0" applyFont="1" applyFill="1" applyBorder="1" applyAlignment="1">
      <alignment horizontal="center" vertical="center" wrapText="1"/>
    </xf>
    <xf numFmtId="44" fontId="9" fillId="9" borderId="1" xfId="2" applyFont="1" applyFill="1" applyBorder="1" applyAlignment="1">
      <alignment horizontal="center" vertical="center" wrapText="1"/>
    </xf>
    <xf numFmtId="0" fontId="9" fillId="10" borderId="4" xfId="0" applyFont="1" applyFill="1" applyBorder="1" applyAlignment="1">
      <alignment horizontal="center" vertical="center" wrapText="1"/>
    </xf>
    <xf numFmtId="0" fontId="5" fillId="10" borderId="4" xfId="0" applyFont="1" applyFill="1" applyBorder="1" applyAlignment="1">
      <alignment horizontal="center" vertical="center" wrapText="1"/>
    </xf>
    <xf numFmtId="0" fontId="3" fillId="9" borderId="5" xfId="0" applyFont="1" applyFill="1" applyBorder="1" applyAlignment="1">
      <alignment horizontal="center" vertical="center" wrapText="1"/>
    </xf>
    <xf numFmtId="0" fontId="3" fillId="9" borderId="2" xfId="0" applyFont="1" applyFill="1" applyBorder="1" applyAlignment="1">
      <alignment horizontal="center" vertical="center" wrapText="1"/>
    </xf>
    <xf numFmtId="164" fontId="3" fillId="9" borderId="1" xfId="1" applyNumberFormat="1" applyFont="1" applyFill="1" applyBorder="1" applyAlignment="1">
      <alignment horizontal="center" vertical="center" wrapText="1"/>
    </xf>
    <xf numFmtId="14" fontId="3" fillId="9" borderId="1" xfId="0" applyNumberFormat="1" applyFont="1" applyFill="1" applyBorder="1" applyAlignment="1">
      <alignment horizontal="center" vertical="center" wrapText="1"/>
    </xf>
    <xf numFmtId="164" fontId="9" fillId="9" borderId="1" xfId="1" applyNumberFormat="1" applyFont="1" applyFill="1" applyBorder="1" applyAlignment="1">
      <alignment horizontal="center" vertical="center" wrapText="1"/>
    </xf>
    <xf numFmtId="0" fontId="5" fillId="10" borderId="4" xfId="0" applyFont="1" applyFill="1" applyBorder="1" applyAlignment="1">
      <alignment horizontal="center" vertical="center"/>
    </xf>
    <xf numFmtId="0" fontId="5" fillId="10" borderId="3" xfId="0" applyFont="1" applyFill="1" applyBorder="1" applyAlignment="1">
      <alignment horizontal="center" vertical="center"/>
    </xf>
    <xf numFmtId="165" fontId="3" fillId="0" borderId="1" xfId="2" applyNumberFormat="1" applyFont="1" applyBorder="1" applyAlignment="1">
      <alignment horizontal="center" vertical="center"/>
    </xf>
    <xf numFmtId="165" fontId="9" fillId="0" borderId="1" xfId="2" applyNumberFormat="1" applyFont="1" applyBorder="1" applyAlignment="1">
      <alignment horizontal="center" vertical="center"/>
    </xf>
    <xf numFmtId="0" fontId="3" fillId="11" borderId="1" xfId="0" applyFont="1" applyFill="1" applyBorder="1" applyAlignment="1">
      <alignment horizontal="center" vertical="center"/>
    </xf>
    <xf numFmtId="0" fontId="9" fillId="12" borderId="1" xfId="0" applyFont="1" applyFill="1" applyBorder="1" applyAlignment="1">
      <alignment horizontal="center" vertical="center"/>
    </xf>
    <xf numFmtId="165" fontId="3" fillId="0" borderId="1" xfId="2" applyNumberFormat="1" applyFont="1" applyFill="1" applyBorder="1" applyAlignment="1">
      <alignment horizontal="right" vertical="center" wrapText="1"/>
    </xf>
    <xf numFmtId="0" fontId="8" fillId="9" borderId="1" xfId="4" applyFont="1" applyFill="1" applyBorder="1" applyAlignment="1">
      <alignment horizontal="center" vertical="center" wrapText="1"/>
    </xf>
    <xf numFmtId="0" fontId="9" fillId="0" borderId="1" xfId="0" applyFont="1" applyBorder="1" applyAlignment="1">
      <alignment vertical="center" wrapText="1"/>
    </xf>
    <xf numFmtId="165" fontId="9" fillId="0" borderId="1" xfId="2" applyNumberFormat="1" applyFont="1" applyFill="1" applyBorder="1" applyAlignment="1">
      <alignment vertical="center" wrapText="1"/>
    </xf>
    <xf numFmtId="0" fontId="10" fillId="4" borderId="1" xfId="4" applyFont="1" applyFill="1" applyBorder="1" applyAlignment="1">
      <alignment horizontal="center" vertical="center" wrapText="1"/>
    </xf>
    <xf numFmtId="0" fontId="3" fillId="9" borderId="1" xfId="0" applyFont="1" applyFill="1" applyBorder="1" applyAlignment="1">
      <alignment horizontal="center" vertical="center"/>
    </xf>
    <xf numFmtId="42" fontId="3" fillId="9" borderId="1" xfId="5" applyFont="1" applyFill="1" applyBorder="1" applyAlignment="1">
      <alignment horizontal="center" vertical="center"/>
    </xf>
    <xf numFmtId="0" fontId="3" fillId="9" borderId="1" xfId="0" applyFont="1" applyFill="1" applyBorder="1" applyAlignment="1">
      <alignment horizontal="left" vertical="center"/>
    </xf>
    <xf numFmtId="0" fontId="3" fillId="9" borderId="1" xfId="0" applyFont="1" applyFill="1" applyBorder="1" applyAlignment="1">
      <alignment vertical="center" wrapText="1"/>
    </xf>
    <xf numFmtId="0" fontId="3" fillId="9" borderId="6" xfId="0" applyFont="1" applyFill="1" applyBorder="1" applyAlignment="1">
      <alignment horizontal="center" vertical="center"/>
    </xf>
    <xf numFmtId="0" fontId="0" fillId="0" borderId="7" xfId="0" pivotButton="1" applyBorder="1"/>
    <xf numFmtId="0" fontId="0" fillId="0" borderId="7" xfId="0" applyBorder="1" applyAlignment="1">
      <alignment horizontal="left"/>
    </xf>
    <xf numFmtId="0" fontId="7" fillId="0" borderId="1" xfId="0" applyFont="1" applyBorder="1" applyAlignment="1">
      <alignment horizontal="center" vertical="center" wrapText="1"/>
    </xf>
    <xf numFmtId="165" fontId="7" fillId="0" borderId="1" xfId="2" applyNumberFormat="1" applyFont="1" applyFill="1" applyBorder="1" applyAlignment="1">
      <alignment horizontal="center" vertical="center" wrapText="1"/>
    </xf>
    <xf numFmtId="0" fontId="7" fillId="0" borderId="1" xfId="0" applyFont="1" applyBorder="1" applyAlignment="1">
      <alignment horizontal="center" vertical="center"/>
    </xf>
    <xf numFmtId="0" fontId="9" fillId="0" borderId="1" xfId="0" applyFont="1" applyBorder="1" applyAlignment="1">
      <alignment horizontal="left" vertical="center" wrapText="1"/>
    </xf>
    <xf numFmtId="0" fontId="5" fillId="0" borderId="3" xfId="0" applyFont="1" applyBorder="1" applyAlignment="1">
      <alignment horizontal="center" vertical="center" wrapText="1"/>
    </xf>
    <xf numFmtId="0" fontId="9" fillId="0" borderId="1" xfId="0" applyFont="1" applyBorder="1" applyAlignment="1">
      <alignment horizontal="left" vertical="center"/>
    </xf>
    <xf numFmtId="165" fontId="9" fillId="0" borderId="1" xfId="2" applyNumberFormat="1" applyFont="1" applyFill="1" applyBorder="1" applyAlignment="1">
      <alignment horizontal="center" vertical="center" wrapText="1"/>
    </xf>
    <xf numFmtId="0" fontId="9" fillId="0" borderId="0" xfId="0" applyFont="1"/>
    <xf numFmtId="0" fontId="10" fillId="0" borderId="1" xfId="4" applyFont="1" applyFill="1" applyBorder="1" applyAlignment="1">
      <alignment horizontal="center" vertical="center" wrapText="1"/>
    </xf>
    <xf numFmtId="165" fontId="9" fillId="0" borderId="1" xfId="2" applyNumberFormat="1" applyFont="1" applyFill="1" applyBorder="1" applyAlignment="1">
      <alignment horizontal="center" vertical="center"/>
    </xf>
    <xf numFmtId="14" fontId="9" fillId="0" borderId="1" xfId="0" applyNumberFormat="1" applyFont="1" applyBorder="1" applyAlignment="1">
      <alignment horizontal="left" vertical="center" wrapText="1"/>
    </xf>
    <xf numFmtId="165" fontId="9" fillId="0" borderId="0" xfId="2" applyNumberFormat="1" applyFont="1" applyFill="1"/>
    <xf numFmtId="0" fontId="10" fillId="0" borderId="1" xfId="3" applyFont="1" applyFill="1" applyBorder="1" applyAlignment="1">
      <alignment horizontal="center" vertical="center" wrapText="1"/>
    </xf>
    <xf numFmtId="17" fontId="9" fillId="0" borderId="1" xfId="0" applyNumberFormat="1" applyFont="1" applyBorder="1" applyAlignment="1">
      <alignment horizontal="center" vertical="center"/>
    </xf>
    <xf numFmtId="0" fontId="10" fillId="0" borderId="1" xfId="3" applyFont="1" applyFill="1" applyBorder="1" applyAlignment="1">
      <alignment horizontal="center" vertical="center"/>
    </xf>
    <xf numFmtId="17" fontId="5" fillId="10" borderId="4" xfId="0" applyNumberFormat="1" applyFont="1" applyFill="1" applyBorder="1" applyAlignment="1">
      <alignment horizontal="center" vertical="center"/>
    </xf>
    <xf numFmtId="0" fontId="0" fillId="0" borderId="10" xfId="0" applyBorder="1"/>
    <xf numFmtId="0" fontId="0" fillId="0" borderId="8" xfId="0" applyBorder="1"/>
    <xf numFmtId="0" fontId="4" fillId="2" borderId="6" xfId="0" applyFont="1" applyFill="1" applyBorder="1" applyAlignment="1">
      <alignment horizontal="center" vertical="center" wrapText="1"/>
    </xf>
    <xf numFmtId="164" fontId="9" fillId="0" borderId="5" xfId="1" applyNumberFormat="1" applyFont="1" applyFill="1" applyBorder="1" applyAlignment="1">
      <alignment horizontal="center" vertical="center" wrapText="1"/>
    </xf>
    <xf numFmtId="0" fontId="5" fillId="5" borderId="5" xfId="0" applyFont="1" applyFill="1" applyBorder="1" applyAlignment="1">
      <alignment horizontal="center" vertical="center"/>
    </xf>
    <xf numFmtId="0" fontId="3" fillId="0" borderId="5" xfId="0" applyFont="1" applyBorder="1" applyAlignment="1">
      <alignment horizontal="center" vertical="center"/>
    </xf>
    <xf numFmtId="165" fontId="3" fillId="0" borderId="5" xfId="2" applyNumberFormat="1" applyFont="1" applyBorder="1" applyAlignment="1">
      <alignment horizontal="center" vertical="center"/>
    </xf>
    <xf numFmtId="0" fontId="6" fillId="3" borderId="8" xfId="0" applyFont="1" applyFill="1" applyBorder="1" applyAlignment="1">
      <alignment horizontal="center" vertical="center" wrapText="1"/>
    </xf>
    <xf numFmtId="0" fontId="6" fillId="3" borderId="9" xfId="0" applyFont="1" applyFill="1" applyBorder="1" applyAlignment="1">
      <alignment horizontal="center" vertical="center" wrapText="1"/>
    </xf>
    <xf numFmtId="164" fontId="6" fillId="3" borderId="9" xfId="1" applyNumberFormat="1" applyFont="1" applyFill="1" applyBorder="1" applyAlignment="1">
      <alignment horizontal="center" vertical="center" wrapText="1"/>
    </xf>
    <xf numFmtId="0" fontId="7" fillId="4" borderId="9" xfId="0" applyFont="1" applyFill="1" applyBorder="1" applyAlignment="1">
      <alignment horizontal="center" vertical="center" wrapText="1"/>
    </xf>
    <xf numFmtId="0" fontId="7" fillId="4" borderId="9" xfId="0" applyFont="1" applyFill="1" applyBorder="1" applyAlignment="1">
      <alignment horizontal="center" vertical="center"/>
    </xf>
    <xf numFmtId="0" fontId="4" fillId="6" borderId="9" xfId="0" applyFont="1" applyFill="1" applyBorder="1" applyAlignment="1">
      <alignment horizontal="center" vertical="center"/>
    </xf>
    <xf numFmtId="1" fontId="4" fillId="6" borderId="9" xfId="2" applyNumberFormat="1" applyFont="1" applyFill="1" applyBorder="1" applyAlignment="1">
      <alignment horizontal="center" vertical="center"/>
    </xf>
    <xf numFmtId="0" fontId="7" fillId="4" borderId="10" xfId="0" applyFont="1" applyFill="1" applyBorder="1" applyAlignment="1">
      <alignment horizontal="center" vertical="center"/>
    </xf>
    <xf numFmtId="0" fontId="9" fillId="4" borderId="1" xfId="0" applyFont="1" applyFill="1" applyBorder="1" applyAlignment="1">
      <alignment horizontal="center" vertical="center"/>
    </xf>
    <xf numFmtId="14" fontId="3" fillId="0" borderId="0" xfId="0" applyNumberFormat="1" applyFont="1" applyAlignment="1">
      <alignment horizontal="center" vertical="center" wrapText="1"/>
    </xf>
    <xf numFmtId="14" fontId="3" fillId="2" borderId="0" xfId="0" applyNumberFormat="1" applyFont="1" applyFill="1" applyAlignment="1">
      <alignment horizontal="center" vertical="center" wrapText="1"/>
    </xf>
    <xf numFmtId="14" fontId="7" fillId="4" borderId="10" xfId="0" applyNumberFormat="1" applyFont="1" applyFill="1" applyBorder="1" applyAlignment="1">
      <alignment horizontal="center" vertical="center"/>
    </xf>
    <xf numFmtId="14" fontId="3" fillId="4" borderId="1" xfId="0" applyNumberFormat="1" applyFont="1" applyFill="1" applyBorder="1" applyAlignment="1">
      <alignment horizontal="center" vertical="center" wrapText="1"/>
    </xf>
    <xf numFmtId="14" fontId="3" fillId="4" borderId="0" xfId="0" applyNumberFormat="1" applyFont="1" applyFill="1" applyAlignment="1">
      <alignment horizontal="center" vertical="center" wrapText="1"/>
    </xf>
    <xf numFmtId="0" fontId="5" fillId="2" borderId="11"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0" fillId="0" borderId="8" xfId="0" applyNumberFormat="1" applyBorder="1"/>
    <xf numFmtId="0" fontId="0" fillId="0" borderId="10" xfId="0" applyNumberFormat="1" applyBorder="1"/>
    <xf numFmtId="0" fontId="0" fillId="0" borderId="0" xfId="0" applyBorder="1"/>
    <xf numFmtId="0" fontId="0" fillId="0" borderId="18" xfId="0" applyNumberFormat="1" applyBorder="1" applyAlignment="1">
      <alignment horizontal="center"/>
    </xf>
    <xf numFmtId="0" fontId="0" fillId="0" borderId="27" xfId="0" applyBorder="1" applyAlignment="1">
      <alignment horizontal="left"/>
    </xf>
    <xf numFmtId="0" fontId="0" fillId="0" borderId="28" xfId="0" applyBorder="1" applyAlignment="1">
      <alignment horizontal="left" indent="1"/>
    </xf>
    <xf numFmtId="0" fontId="0" fillId="0" borderId="27" xfId="0" applyBorder="1" applyAlignment="1">
      <alignment horizontal="left" indent="1"/>
    </xf>
    <xf numFmtId="0" fontId="0" fillId="0" borderId="15" xfId="0" applyBorder="1" applyAlignment="1">
      <alignment horizontal="left" indent="1"/>
    </xf>
    <xf numFmtId="0" fontId="0" fillId="0" borderId="26" xfId="0" applyBorder="1" applyAlignment="1">
      <alignment horizontal="left" indent="1"/>
    </xf>
    <xf numFmtId="0" fontId="0" fillId="0" borderId="32" xfId="0" applyBorder="1"/>
    <xf numFmtId="0" fontId="0" fillId="0" borderId="33" xfId="0" applyBorder="1"/>
    <xf numFmtId="0" fontId="0" fillId="0" borderId="28" xfId="0" applyBorder="1" applyAlignment="1">
      <alignment horizontal="left"/>
    </xf>
    <xf numFmtId="0" fontId="11" fillId="0" borderId="7" xfId="0" pivotButton="1" applyFont="1" applyBorder="1"/>
    <xf numFmtId="0" fontId="0" fillId="0" borderId="31" xfId="0" applyBorder="1"/>
    <xf numFmtId="0" fontId="0" fillId="0" borderId="26" xfId="0" applyBorder="1"/>
    <xf numFmtId="0" fontId="0" fillId="0" borderId="16" xfId="0" applyBorder="1"/>
    <xf numFmtId="0" fontId="0" fillId="0" borderId="21" xfId="0" applyNumberFormat="1" applyFont="1" applyBorder="1"/>
    <xf numFmtId="0" fontId="0" fillId="0" borderId="22" xfId="0" applyNumberFormat="1" applyFont="1" applyBorder="1"/>
    <xf numFmtId="0" fontId="12" fillId="13" borderId="32" xfId="0" applyFont="1" applyFill="1" applyBorder="1" applyAlignment="1"/>
    <xf numFmtId="0" fontId="0" fillId="0" borderId="16" xfId="0" applyBorder="1" applyAlignment="1"/>
    <xf numFmtId="0" fontId="12" fillId="13" borderId="33" xfId="0" applyFont="1" applyFill="1" applyBorder="1" applyAlignment="1"/>
    <xf numFmtId="164" fontId="1" fillId="0" borderId="37" xfId="1" applyNumberFormat="1" applyFont="1" applyBorder="1" applyAlignment="1"/>
    <xf numFmtId="0" fontId="12" fillId="0" borderId="37" xfId="0" applyFont="1" applyBorder="1" applyAlignment="1"/>
    <xf numFmtId="0" fontId="12" fillId="0" borderId="38" xfId="0" applyFont="1" applyBorder="1" applyAlignment="1"/>
    <xf numFmtId="164" fontId="1" fillId="0" borderId="29" xfId="1" applyNumberFormat="1" applyFont="1" applyBorder="1" applyAlignment="1"/>
    <xf numFmtId="9" fontId="1" fillId="0" borderId="30" xfId="6" applyFont="1" applyBorder="1" applyAlignment="1"/>
    <xf numFmtId="164" fontId="1" fillId="0" borderId="23" xfId="1" applyNumberFormat="1" applyFont="1" applyBorder="1" applyAlignment="1"/>
    <xf numFmtId="9" fontId="1" fillId="0" borderId="25" xfId="6" applyFont="1" applyBorder="1" applyAlignment="1"/>
    <xf numFmtId="164" fontId="12" fillId="13" borderId="16" xfId="1" applyNumberFormat="1" applyFont="1" applyFill="1" applyBorder="1" applyAlignment="1"/>
    <xf numFmtId="0" fontId="12" fillId="13" borderId="31" xfId="0" applyFont="1" applyFill="1" applyBorder="1" applyAlignment="1"/>
    <xf numFmtId="9" fontId="12" fillId="13" borderId="26" xfId="0" applyNumberFormat="1" applyFont="1" applyFill="1" applyBorder="1" applyAlignment="1"/>
    <xf numFmtId="0" fontId="12" fillId="13" borderId="7" xfId="0" applyFont="1" applyFill="1" applyBorder="1" applyAlignment="1"/>
    <xf numFmtId="9" fontId="1" fillId="0" borderId="35" xfId="6" applyFont="1" applyBorder="1" applyAlignment="1"/>
    <xf numFmtId="9" fontId="1" fillId="0" borderId="27" xfId="6" applyFont="1" applyBorder="1" applyAlignment="1"/>
    <xf numFmtId="0" fontId="12" fillId="0" borderId="37" xfId="0" applyFont="1" applyBorder="1"/>
    <xf numFmtId="0" fontId="12" fillId="0" borderId="38" xfId="0" applyFont="1" applyBorder="1"/>
    <xf numFmtId="164" fontId="1" fillId="0" borderId="38" xfId="1" applyNumberFormat="1" applyFont="1" applyBorder="1" applyAlignment="1"/>
    <xf numFmtId="164" fontId="12" fillId="13" borderId="32" xfId="1" applyNumberFormat="1" applyFont="1" applyFill="1" applyBorder="1" applyAlignment="1"/>
    <xf numFmtId="9" fontId="12" fillId="13" borderId="7" xfId="6" applyFont="1" applyFill="1" applyBorder="1" applyAlignment="1"/>
    <xf numFmtId="0" fontId="12" fillId="0" borderId="32" xfId="0" applyFont="1" applyBorder="1" applyAlignment="1">
      <alignment horizontal="center"/>
    </xf>
    <xf numFmtId="0" fontId="12" fillId="0" borderId="33" xfId="0" applyFont="1" applyBorder="1" applyAlignment="1">
      <alignment horizontal="center"/>
    </xf>
    <xf numFmtId="0" fontId="0" fillId="0" borderId="0" xfId="0" applyAlignment="1">
      <alignment horizontal="center" vertical="center"/>
    </xf>
    <xf numFmtId="0" fontId="0" fillId="0" borderId="1" xfId="0" applyNumberFormat="1" applyBorder="1" applyAlignment="1">
      <alignment horizontal="center" vertical="center"/>
    </xf>
    <xf numFmtId="0" fontId="0" fillId="0" borderId="8" xfId="0" applyBorder="1" applyAlignment="1">
      <alignment horizontal="center" vertical="center"/>
    </xf>
    <xf numFmtId="0" fontId="0" fillId="0" borderId="10" xfId="0" applyNumberFormat="1" applyBorder="1" applyAlignment="1">
      <alignment horizontal="center" vertical="center"/>
    </xf>
    <xf numFmtId="9" fontId="0" fillId="0" borderId="0" xfId="6" applyFont="1"/>
    <xf numFmtId="9" fontId="0" fillId="0" borderId="35" xfId="6" applyFont="1" applyBorder="1"/>
    <xf numFmtId="9" fontId="0" fillId="0" borderId="28" xfId="6" applyFont="1" applyBorder="1"/>
    <xf numFmtId="9" fontId="0" fillId="0" borderId="27" xfId="6" applyFont="1" applyBorder="1"/>
    <xf numFmtId="0" fontId="12" fillId="14" borderId="31" xfId="0" applyFont="1" applyFill="1" applyBorder="1" applyAlignment="1">
      <alignment horizontal="center" wrapText="1"/>
    </xf>
    <xf numFmtId="0" fontId="0" fillId="0" borderId="0" xfId="0" applyBorder="1" applyAlignment="1">
      <alignment horizontal="center" vertical="center"/>
    </xf>
    <xf numFmtId="0" fontId="0" fillId="0" borderId="7" xfId="0" pivotButton="1" applyBorder="1" applyAlignment="1">
      <alignment horizontal="center" vertical="center"/>
    </xf>
    <xf numFmtId="0" fontId="11" fillId="0" borderId="7" xfId="0" pivotButton="1" applyFont="1"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26" xfId="0" applyBorder="1" applyAlignment="1">
      <alignment horizontal="center" vertical="center"/>
    </xf>
    <xf numFmtId="0" fontId="0" fillId="0" borderId="7" xfId="0" applyBorder="1" applyAlignment="1">
      <alignment horizontal="center" vertical="center"/>
    </xf>
    <xf numFmtId="0" fontId="0" fillId="0" borderId="36" xfId="0" applyNumberFormat="1" applyBorder="1" applyAlignment="1">
      <alignment horizontal="center" vertical="center"/>
    </xf>
    <xf numFmtId="0" fontId="0" fillId="0" borderId="31" xfId="0" pivotButton="1" applyBorder="1" applyAlignment="1">
      <alignment horizontal="center" vertical="center"/>
    </xf>
    <xf numFmtId="0" fontId="0" fillId="0" borderId="8" xfId="0" applyNumberFormat="1" applyBorder="1" applyAlignment="1">
      <alignment horizontal="center" vertical="center"/>
    </xf>
    <xf numFmtId="0" fontId="0" fillId="0" borderId="28" xfId="0" applyBorder="1" applyAlignment="1">
      <alignment horizontal="left" vertical="center" wrapText="1"/>
    </xf>
    <xf numFmtId="0" fontId="0" fillId="0" borderId="36" xfId="0" applyBorder="1" applyAlignment="1">
      <alignment horizontal="center" vertical="center"/>
    </xf>
    <xf numFmtId="0" fontId="0" fillId="0" borderId="10" xfId="0" applyBorder="1" applyAlignment="1">
      <alignment horizontal="center" vertical="center"/>
    </xf>
    <xf numFmtId="0" fontId="0" fillId="15" borderId="7" xfId="0" applyNumberFormat="1" applyFill="1" applyBorder="1" applyAlignment="1">
      <alignment horizontal="center" vertical="center"/>
    </xf>
    <xf numFmtId="0" fontId="0" fillId="15" borderId="21" xfId="0" applyNumberFormat="1" applyFill="1" applyBorder="1" applyAlignment="1">
      <alignment horizontal="center" vertical="center"/>
    </xf>
    <xf numFmtId="0" fontId="0" fillId="15" borderId="22" xfId="0" applyNumberFormat="1" applyFill="1" applyBorder="1" applyAlignment="1">
      <alignment horizontal="center" vertical="center"/>
    </xf>
    <xf numFmtId="0" fontId="0" fillId="15" borderId="33" xfId="0" applyNumberFormat="1" applyFill="1" applyBorder="1" applyAlignment="1">
      <alignment horizontal="center" vertical="center"/>
    </xf>
    <xf numFmtId="0" fontId="0" fillId="15" borderId="22" xfId="0" applyFill="1" applyBorder="1" applyAlignment="1">
      <alignment horizontal="center" vertical="center"/>
    </xf>
    <xf numFmtId="0" fontId="0" fillId="15" borderId="25" xfId="0" applyFill="1" applyBorder="1" applyAlignment="1">
      <alignment horizontal="center" vertical="center"/>
    </xf>
    <xf numFmtId="9" fontId="0" fillId="0" borderId="37" xfId="6" applyFont="1" applyBorder="1"/>
    <xf numFmtId="9" fontId="0" fillId="0" borderId="41" xfId="6" applyFont="1" applyBorder="1"/>
    <xf numFmtId="9" fontId="0" fillId="0" borderId="38" xfId="6" applyFont="1" applyBorder="1"/>
    <xf numFmtId="0" fontId="0" fillId="0" borderId="0" xfId="0" applyBorder="1" applyAlignment="1">
      <alignment horizontal="center" vertical="center" wrapText="1"/>
    </xf>
    <xf numFmtId="0" fontId="0" fillId="0" borderId="17" xfId="0" applyBorder="1" applyAlignment="1">
      <alignment horizontal="center" vertical="center" wrapText="1"/>
    </xf>
    <xf numFmtId="0" fontId="0" fillId="0" borderId="22" xfId="0" applyNumberFormat="1" applyBorder="1" applyAlignment="1">
      <alignment horizontal="center"/>
    </xf>
    <xf numFmtId="0" fontId="0" fillId="0" borderId="36" xfId="0" applyBorder="1"/>
    <xf numFmtId="0" fontId="0" fillId="0" borderId="31" xfId="0" applyBorder="1" applyAlignment="1">
      <alignment horizontal="left"/>
    </xf>
    <xf numFmtId="0" fontId="0" fillId="0" borderId="40" xfId="0" applyBorder="1" applyAlignment="1">
      <alignment horizontal="left"/>
    </xf>
    <xf numFmtId="0" fontId="0" fillId="0" borderId="26" xfId="0" applyBorder="1" applyAlignment="1">
      <alignment horizontal="left"/>
    </xf>
    <xf numFmtId="0" fontId="0" fillId="0" borderId="7" xfId="0" applyBorder="1"/>
    <xf numFmtId="0" fontId="0" fillId="0" borderId="32" xfId="0" applyNumberFormat="1" applyBorder="1" applyAlignment="1">
      <alignment horizontal="center"/>
    </xf>
    <xf numFmtId="0" fontId="0" fillId="0" borderId="33" xfId="0" applyNumberFormat="1" applyBorder="1" applyAlignment="1">
      <alignment horizontal="center"/>
    </xf>
    <xf numFmtId="0" fontId="0" fillId="0" borderId="21" xfId="0" applyNumberFormat="1" applyBorder="1" applyAlignment="1">
      <alignment horizontal="center"/>
    </xf>
    <xf numFmtId="0" fontId="0" fillId="0" borderId="7" xfId="0" applyNumberFormat="1" applyBorder="1" applyAlignment="1">
      <alignment horizontal="center"/>
    </xf>
    <xf numFmtId="9" fontId="0" fillId="0" borderId="43" xfId="6" applyFont="1" applyBorder="1"/>
    <xf numFmtId="9" fontId="0" fillId="0" borderId="42" xfId="6" applyFont="1" applyBorder="1"/>
    <xf numFmtId="9" fontId="0" fillId="0" borderId="39" xfId="6" applyFont="1" applyBorder="1"/>
    <xf numFmtId="9" fontId="0" fillId="0" borderId="34" xfId="6" applyFont="1" applyBorder="1"/>
    <xf numFmtId="0" fontId="0" fillId="0" borderId="7" xfId="0" applyBorder="1" applyAlignment="1">
      <alignment horizontal="center"/>
    </xf>
    <xf numFmtId="9" fontId="12" fillId="14" borderId="7" xfId="6" applyFont="1" applyFill="1" applyBorder="1" applyAlignment="1">
      <alignment horizontal="center" vertical="center" wrapText="1"/>
    </xf>
    <xf numFmtId="9" fontId="12" fillId="14" borderId="33" xfId="6" applyFont="1" applyFill="1" applyBorder="1" applyAlignment="1">
      <alignment horizontal="center" vertical="center" wrapText="1"/>
    </xf>
    <xf numFmtId="9" fontId="12" fillId="14" borderId="14" xfId="6" applyFont="1" applyFill="1" applyBorder="1" applyAlignment="1">
      <alignment horizontal="center" wrapText="1"/>
    </xf>
    <xf numFmtId="0" fontId="12" fillId="14" borderId="26" xfId="0" applyFont="1" applyFill="1" applyBorder="1" applyAlignment="1">
      <alignment horizontal="center" wrapText="1"/>
    </xf>
    <xf numFmtId="9" fontId="12" fillId="14" borderId="18" xfId="6" applyFont="1" applyFill="1" applyBorder="1" applyAlignment="1">
      <alignment horizontal="center" wrapText="1"/>
    </xf>
    <xf numFmtId="44" fontId="0" fillId="0" borderId="0" xfId="2" applyFont="1"/>
    <xf numFmtId="0" fontId="0" fillId="0" borderId="40" xfId="0" applyBorder="1" applyAlignment="1">
      <alignment horizontal="left" indent="1"/>
    </xf>
    <xf numFmtId="165" fontId="0" fillId="0" borderId="15" xfId="0" applyNumberFormat="1" applyBorder="1"/>
    <xf numFmtId="165" fontId="0" fillId="0" borderId="40" xfId="0" applyNumberFormat="1" applyBorder="1"/>
    <xf numFmtId="165" fontId="0" fillId="0" borderId="32" xfId="0" applyNumberFormat="1" applyBorder="1"/>
    <xf numFmtId="165" fontId="0" fillId="0" borderId="7" xfId="0" applyNumberFormat="1" applyBorder="1"/>
    <xf numFmtId="165" fontId="3" fillId="2" borderId="0" xfId="2" applyNumberFormat="1" applyFont="1" applyFill="1" applyAlignment="1">
      <alignment horizontal="center" vertical="center" wrapText="1"/>
    </xf>
    <xf numFmtId="165" fontId="7" fillId="4" borderId="9" xfId="2" applyNumberFormat="1" applyFont="1" applyFill="1" applyBorder="1" applyAlignment="1">
      <alignment horizontal="center" vertical="center" wrapText="1"/>
    </xf>
    <xf numFmtId="165" fontId="3" fillId="4" borderId="5" xfId="2" applyNumberFormat="1" applyFont="1" applyFill="1" applyBorder="1" applyAlignment="1">
      <alignment horizontal="center" vertical="center" wrapText="1"/>
    </xf>
    <xf numFmtId="165" fontId="3" fillId="4" borderId="1" xfId="2" applyNumberFormat="1" applyFont="1" applyFill="1" applyBorder="1" applyAlignment="1">
      <alignment horizontal="center" vertical="center" wrapText="1"/>
    </xf>
    <xf numFmtId="165" fontId="9" fillId="4" borderId="1" xfId="2" applyNumberFormat="1" applyFont="1" applyFill="1" applyBorder="1" applyAlignment="1">
      <alignment horizontal="center" vertical="center" wrapText="1"/>
    </xf>
    <xf numFmtId="165" fontId="5" fillId="5" borderId="3" xfId="2" applyNumberFormat="1" applyFont="1" applyFill="1" applyBorder="1" applyAlignment="1">
      <alignment horizontal="center" vertical="center" wrapText="1"/>
    </xf>
    <xf numFmtId="165" fontId="3" fillId="9" borderId="1" xfId="2" applyNumberFormat="1" applyFont="1" applyFill="1" applyBorder="1" applyAlignment="1">
      <alignment horizontal="center" vertical="center" wrapText="1"/>
    </xf>
    <xf numFmtId="165" fontId="5" fillId="5" borderId="3" xfId="2" applyNumberFormat="1" applyFont="1" applyFill="1" applyBorder="1" applyAlignment="1">
      <alignment horizontal="center" vertical="center"/>
    </xf>
    <xf numFmtId="165" fontId="5" fillId="10" borderId="3" xfId="2" applyNumberFormat="1" applyFont="1" applyFill="1" applyBorder="1" applyAlignment="1">
      <alignment horizontal="center" vertical="center"/>
    </xf>
    <xf numFmtId="165" fontId="5" fillId="5" borderId="1" xfId="2" applyNumberFormat="1" applyFont="1" applyFill="1" applyBorder="1" applyAlignment="1">
      <alignment horizontal="center" vertical="center"/>
    </xf>
    <xf numFmtId="165" fontId="9" fillId="5" borderId="3" xfId="2" applyNumberFormat="1" applyFont="1" applyFill="1" applyBorder="1" applyAlignment="1">
      <alignment horizontal="center" vertical="center" wrapText="1"/>
    </xf>
    <xf numFmtId="165" fontId="9" fillId="5" borderId="4" xfId="2" applyNumberFormat="1" applyFont="1" applyFill="1" applyBorder="1" applyAlignment="1">
      <alignment horizontal="center" vertical="center" wrapText="1"/>
    </xf>
    <xf numFmtId="165" fontId="5" fillId="5" borderId="4" xfId="2" applyNumberFormat="1" applyFont="1" applyFill="1" applyBorder="1" applyAlignment="1">
      <alignment horizontal="center" vertical="center" wrapText="1"/>
    </xf>
    <xf numFmtId="165" fontId="9" fillId="9" borderId="1" xfId="2" applyNumberFormat="1" applyFont="1" applyFill="1" applyBorder="1" applyAlignment="1">
      <alignment horizontal="center" vertical="center" wrapText="1"/>
    </xf>
    <xf numFmtId="10" fontId="0" fillId="0" borderId="43" xfId="6" applyNumberFormat="1" applyFont="1" applyBorder="1"/>
    <xf numFmtId="10" fontId="0" fillId="0" borderId="42" xfId="6" applyNumberFormat="1" applyFont="1" applyBorder="1"/>
    <xf numFmtId="10" fontId="0" fillId="0" borderId="39" xfId="6" applyNumberFormat="1" applyFont="1" applyBorder="1"/>
    <xf numFmtId="10" fontId="0" fillId="0" borderId="34" xfId="6" applyNumberFormat="1" applyFont="1" applyBorder="1"/>
    <xf numFmtId="10" fontId="0" fillId="0" borderId="28" xfId="6" applyNumberFormat="1" applyFont="1" applyBorder="1"/>
    <xf numFmtId="10" fontId="0" fillId="0" borderId="27" xfId="6" applyNumberFormat="1" applyFont="1" applyBorder="1"/>
    <xf numFmtId="10" fontId="0" fillId="0" borderId="35" xfId="6" applyNumberFormat="1" applyFont="1" applyBorder="1"/>
    <xf numFmtId="0" fontId="12" fillId="14" borderId="8" xfId="0" applyFont="1" applyFill="1" applyBorder="1" applyAlignment="1">
      <alignment horizontal="center" vertical="center" wrapText="1"/>
    </xf>
    <xf numFmtId="0" fontId="12" fillId="14" borderId="10" xfId="0" applyFont="1" applyFill="1" applyBorder="1" applyAlignment="1">
      <alignment horizontal="center" vertical="center" wrapText="1"/>
    </xf>
    <xf numFmtId="0" fontId="12" fillId="14" borderId="7" xfId="0" applyFont="1" applyFill="1" applyBorder="1" applyAlignment="1">
      <alignment horizontal="center" vertical="center"/>
    </xf>
    <xf numFmtId="0" fontId="0" fillId="15" borderId="26" xfId="0" applyFill="1" applyBorder="1" applyAlignment="1">
      <alignment horizontal="left"/>
    </xf>
    <xf numFmtId="165" fontId="0" fillId="15" borderId="16" xfId="0" applyNumberFormat="1" applyFill="1" applyBorder="1"/>
    <xf numFmtId="165" fontId="0" fillId="15" borderId="26" xfId="0" applyNumberFormat="1" applyFill="1" applyBorder="1"/>
    <xf numFmtId="0" fontId="0" fillId="15" borderId="7" xfId="0" applyFill="1" applyBorder="1" applyAlignment="1">
      <alignment horizontal="left"/>
    </xf>
    <xf numFmtId="165" fontId="0" fillId="15" borderId="32" xfId="0" applyNumberFormat="1" applyFill="1" applyBorder="1"/>
    <xf numFmtId="165" fontId="0" fillId="15" borderId="7" xfId="0" applyNumberFormat="1" applyFill="1" applyBorder="1"/>
    <xf numFmtId="10" fontId="0" fillId="15" borderId="26" xfId="0" applyNumberFormat="1" applyFill="1" applyBorder="1"/>
    <xf numFmtId="10" fontId="0" fillId="15" borderId="18" xfId="0" applyNumberFormat="1" applyFill="1" applyBorder="1"/>
    <xf numFmtId="9" fontId="0" fillId="15" borderId="27" xfId="6" applyFont="1" applyFill="1" applyBorder="1"/>
    <xf numFmtId="0" fontId="0" fillId="0" borderId="31" xfId="0" pivotButton="1" applyBorder="1" applyAlignment="1">
      <alignment wrapText="1"/>
    </xf>
    <xf numFmtId="0" fontId="0" fillId="0" borderId="26" xfId="0" applyBorder="1" applyAlignment="1">
      <alignment wrapText="1"/>
    </xf>
    <xf numFmtId="0" fontId="7" fillId="4" borderId="44" xfId="0" applyFont="1" applyFill="1" applyBorder="1" applyAlignment="1">
      <alignment horizontal="center" vertical="center" wrapText="1"/>
    </xf>
    <xf numFmtId="0" fontId="5" fillId="5" borderId="45" xfId="0" applyFont="1" applyFill="1" applyBorder="1" applyAlignment="1">
      <alignment horizontal="center" vertical="center" wrapText="1"/>
    </xf>
    <xf numFmtId="0" fontId="5" fillId="5" borderId="46" xfId="0" applyFont="1" applyFill="1" applyBorder="1" applyAlignment="1">
      <alignment horizontal="center" vertical="center" wrapText="1"/>
    </xf>
    <xf numFmtId="0" fontId="9" fillId="5" borderId="46" xfId="0" applyFont="1" applyFill="1" applyBorder="1" applyAlignment="1">
      <alignment horizontal="center" vertical="center" wrapText="1"/>
    </xf>
    <xf numFmtId="0" fontId="5" fillId="5" borderId="46" xfId="0" applyFont="1" applyFill="1" applyBorder="1" applyAlignment="1">
      <alignment horizontal="center" vertical="center"/>
    </xf>
    <xf numFmtId="0" fontId="9" fillId="5" borderId="46" xfId="0" applyFont="1" applyFill="1" applyBorder="1" applyAlignment="1">
      <alignment horizontal="center" vertical="center"/>
    </xf>
    <xf numFmtId="0" fontId="9" fillId="7" borderId="2" xfId="0" applyFont="1" applyFill="1" applyBorder="1" applyAlignment="1">
      <alignment horizontal="center" vertical="center" wrapText="1"/>
    </xf>
    <xf numFmtId="0" fontId="5" fillId="8" borderId="46" xfId="0" applyFont="1" applyFill="1" applyBorder="1" applyAlignment="1">
      <alignment horizontal="center" vertical="center" wrapText="1"/>
    </xf>
    <xf numFmtId="0" fontId="5" fillId="8" borderId="46" xfId="0" applyFont="1" applyFill="1" applyBorder="1" applyAlignment="1">
      <alignment horizontal="center" vertical="center"/>
    </xf>
    <xf numFmtId="0" fontId="3" fillId="7" borderId="2" xfId="0" applyFont="1" applyFill="1" applyBorder="1" applyAlignment="1">
      <alignment horizontal="center" vertical="center" wrapText="1"/>
    </xf>
    <xf numFmtId="1" fontId="3" fillId="0" borderId="5" xfId="0" applyNumberFormat="1" applyFont="1" applyBorder="1" applyAlignment="1">
      <alignment horizontal="center" vertical="center"/>
    </xf>
    <xf numFmtId="14" fontId="3" fillId="4" borderId="5" xfId="0" applyNumberFormat="1" applyFont="1" applyFill="1" applyBorder="1" applyAlignment="1">
      <alignment horizontal="center" vertical="center" wrapText="1"/>
    </xf>
    <xf numFmtId="0" fontId="7" fillId="4" borderId="8" xfId="0" applyFont="1" applyFill="1" applyBorder="1" applyAlignment="1">
      <alignment horizontal="center" vertical="center"/>
    </xf>
    <xf numFmtId="0" fontId="5" fillId="5" borderId="19" xfId="0" applyFont="1" applyFill="1" applyBorder="1" applyAlignment="1">
      <alignment horizontal="center" vertical="center"/>
    </xf>
    <xf numFmtId="14" fontId="5" fillId="5" borderId="20" xfId="0" applyNumberFormat="1" applyFont="1" applyFill="1" applyBorder="1" applyAlignment="1">
      <alignment horizontal="center" vertical="center"/>
    </xf>
    <xf numFmtId="0" fontId="5" fillId="5" borderId="21" xfId="0" applyFont="1" applyFill="1" applyBorder="1" applyAlignment="1">
      <alignment horizontal="center" vertical="center"/>
    </xf>
    <xf numFmtId="14" fontId="5" fillId="5" borderId="22" xfId="0" applyNumberFormat="1" applyFont="1" applyFill="1" applyBorder="1" applyAlignment="1">
      <alignment horizontal="center" vertical="center"/>
    </xf>
    <xf numFmtId="14" fontId="9" fillId="5" borderId="22" xfId="0" applyNumberFormat="1" applyFont="1" applyFill="1" applyBorder="1" applyAlignment="1">
      <alignment horizontal="center" vertical="center"/>
    </xf>
    <xf numFmtId="14" fontId="9" fillId="5" borderId="22" xfId="0" applyNumberFormat="1" applyFont="1" applyFill="1" applyBorder="1" applyAlignment="1">
      <alignment horizontal="center" vertical="center" wrapText="1"/>
    </xf>
    <xf numFmtId="0" fontId="3" fillId="4" borderId="21" xfId="0" applyFont="1" applyFill="1" applyBorder="1" applyAlignment="1">
      <alignment horizontal="center" vertical="center" wrapText="1"/>
    </xf>
    <xf numFmtId="14" fontId="9" fillId="4" borderId="22" xfId="0" applyNumberFormat="1" applyFont="1" applyFill="1" applyBorder="1" applyAlignment="1">
      <alignment horizontal="center" vertical="center"/>
    </xf>
    <xf numFmtId="14" fontId="3" fillId="4" borderId="22" xfId="0" applyNumberFormat="1" applyFont="1" applyFill="1" applyBorder="1" applyAlignment="1">
      <alignment horizontal="center" vertical="center" wrapText="1"/>
    </xf>
    <xf numFmtId="0" fontId="5" fillId="5" borderId="23" xfId="0" applyFont="1" applyFill="1" applyBorder="1" applyAlignment="1">
      <alignment horizontal="center" vertical="center"/>
    </xf>
    <xf numFmtId="0" fontId="3" fillId="4" borderId="24" xfId="0" applyFont="1" applyFill="1" applyBorder="1" applyAlignment="1">
      <alignment horizontal="center" vertical="center" wrapText="1"/>
    </xf>
    <xf numFmtId="0" fontId="3" fillId="0" borderId="24" xfId="0" applyFont="1" applyBorder="1" applyAlignment="1">
      <alignment horizontal="center" vertical="center"/>
    </xf>
    <xf numFmtId="165" fontId="3" fillId="0" borderId="24" xfId="2" applyNumberFormat="1" applyFont="1" applyBorder="1" applyAlignment="1">
      <alignment horizontal="center" vertical="center"/>
    </xf>
    <xf numFmtId="0" fontId="9" fillId="4" borderId="24" xfId="0" applyFont="1" applyFill="1" applyBorder="1" applyAlignment="1">
      <alignment horizontal="center" vertical="center"/>
    </xf>
    <xf numFmtId="14" fontId="9" fillId="4" borderId="25" xfId="0" applyNumberFormat="1" applyFont="1" applyFill="1" applyBorder="1" applyAlignment="1">
      <alignment horizontal="center" vertical="center"/>
    </xf>
    <xf numFmtId="0" fontId="0" fillId="15" borderId="7" xfId="0" applyFill="1" applyBorder="1" applyAlignment="1">
      <alignment horizontal="center" vertical="center"/>
    </xf>
    <xf numFmtId="0" fontId="0" fillId="0" borderId="32" xfId="0" applyBorder="1" applyAlignment="1">
      <alignment horizontal="center"/>
    </xf>
    <xf numFmtId="0" fontId="0" fillId="0" borderId="0" xfId="0" applyAlignment="1">
      <alignment wrapText="1"/>
    </xf>
    <xf numFmtId="0" fontId="0" fillId="0" borderId="1" xfId="0" pivotButton="1" applyBorder="1" applyAlignment="1">
      <alignment vertical="center"/>
    </xf>
    <xf numFmtId="0" fontId="0" fillId="0" borderId="1" xfId="0" applyBorder="1" applyAlignment="1">
      <alignment vertical="center"/>
    </xf>
    <xf numFmtId="0" fontId="11" fillId="0" borderId="1" xfId="0" pivotButton="1" applyFont="1" applyBorder="1" applyAlignment="1">
      <alignment vertical="center" wrapText="1"/>
    </xf>
    <xf numFmtId="0" fontId="0" fillId="15" borderId="1" xfId="0" applyNumberFormat="1" applyFill="1" applyBorder="1" applyAlignment="1">
      <alignment horizontal="center" vertical="center" wrapText="1"/>
    </xf>
    <xf numFmtId="0" fontId="0" fillId="2" borderId="28" xfId="0" applyNumberFormat="1" applyFill="1" applyBorder="1" applyAlignment="1">
      <alignment horizontal="center" vertical="center" wrapText="1"/>
    </xf>
    <xf numFmtId="0" fontId="0" fillId="2" borderId="35" xfId="0" applyNumberFormat="1" applyFill="1" applyBorder="1" applyAlignment="1">
      <alignment horizontal="center" vertical="center" wrapText="1"/>
    </xf>
    <xf numFmtId="0" fontId="0" fillId="15" borderId="22" xfId="0" applyNumberFormat="1" applyFill="1" applyBorder="1" applyAlignment="1">
      <alignment horizontal="center" vertical="center" wrapText="1"/>
    </xf>
    <xf numFmtId="0" fontId="0" fillId="2" borderId="22" xfId="0" applyNumberFormat="1" applyFill="1" applyBorder="1" applyAlignment="1">
      <alignment horizontal="center" vertical="center" wrapText="1"/>
    </xf>
    <xf numFmtId="0" fontId="11" fillId="2" borderId="0" xfId="0" applyFont="1" applyFill="1" applyBorder="1" applyAlignment="1">
      <alignment vertical="center" wrapText="1"/>
    </xf>
    <xf numFmtId="0" fontId="0" fillId="2" borderId="7" xfId="0" applyNumberFormat="1" applyFill="1" applyBorder="1" applyAlignment="1">
      <alignment horizontal="center" vertical="center" wrapText="1"/>
    </xf>
    <xf numFmtId="0" fontId="0" fillId="15" borderId="8" xfId="0" applyNumberFormat="1" applyFill="1" applyBorder="1" applyAlignment="1">
      <alignment horizontal="center" vertical="center" wrapText="1"/>
    </xf>
    <xf numFmtId="0" fontId="0" fillId="15" borderId="10" xfId="0" applyNumberFormat="1" applyFill="1" applyBorder="1" applyAlignment="1">
      <alignment horizontal="center" vertical="center" wrapText="1"/>
    </xf>
    <xf numFmtId="0" fontId="0" fillId="0" borderId="0" xfId="0" applyAlignment="1">
      <alignment horizontal="center" vertical="center" wrapText="1"/>
    </xf>
    <xf numFmtId="0" fontId="0" fillId="15" borderId="27" xfId="0" applyFill="1" applyBorder="1" applyAlignment="1">
      <alignment horizontal="center" vertical="center"/>
    </xf>
    <xf numFmtId="0" fontId="0" fillId="15" borderId="28" xfId="0" applyNumberFormat="1" applyFill="1" applyBorder="1" applyAlignment="1">
      <alignment horizontal="center" vertical="center" wrapText="1"/>
    </xf>
    <xf numFmtId="0" fontId="0" fillId="15" borderId="7" xfId="0" applyNumberFormat="1" applyFill="1" applyBorder="1" applyAlignment="1">
      <alignment horizontal="center" vertical="center" wrapText="1"/>
    </xf>
    <xf numFmtId="0" fontId="0" fillId="2" borderId="35" xfId="0" applyFill="1" applyBorder="1" applyAlignment="1">
      <alignment horizontal="left" vertical="center" wrapText="1"/>
    </xf>
    <xf numFmtId="0" fontId="0" fillId="2" borderId="28" xfId="0" applyFill="1" applyBorder="1" applyAlignment="1">
      <alignment horizontal="left" vertical="center" wrapText="1"/>
    </xf>
    <xf numFmtId="0" fontId="13" fillId="2" borderId="0" xfId="0" applyFont="1" applyFill="1" applyBorder="1" applyAlignment="1">
      <alignment horizontal="center" vertical="center"/>
    </xf>
    <xf numFmtId="0" fontId="0" fillId="15" borderId="30" xfId="0" applyNumberFormat="1" applyFill="1" applyBorder="1" applyAlignment="1">
      <alignment horizontal="center" vertical="center" wrapText="1"/>
    </xf>
    <xf numFmtId="0" fontId="0" fillId="15" borderId="10" xfId="0" applyFill="1" applyBorder="1" applyAlignment="1">
      <alignment vertical="center"/>
    </xf>
    <xf numFmtId="0" fontId="0" fillId="2" borderId="30" xfId="0" applyNumberFormat="1" applyFill="1" applyBorder="1" applyAlignment="1">
      <alignment horizontal="center" vertical="center" wrapText="1"/>
    </xf>
    <xf numFmtId="0" fontId="0" fillId="15" borderId="7" xfId="0" applyFill="1" applyBorder="1" applyAlignment="1">
      <alignment vertical="center"/>
    </xf>
    <xf numFmtId="0" fontId="0" fillId="15" borderId="35" xfId="0" applyFill="1" applyBorder="1" applyAlignment="1">
      <alignment horizontal="center" vertical="center"/>
    </xf>
    <xf numFmtId="0" fontId="0" fillId="15" borderId="7" xfId="0" applyFill="1" applyBorder="1" applyAlignment="1">
      <alignment horizontal="left" vertical="center"/>
    </xf>
    <xf numFmtId="0" fontId="0" fillId="15" borderId="35" xfId="0" applyNumberFormat="1" applyFill="1" applyBorder="1" applyAlignment="1">
      <alignment horizontal="center" vertical="center" wrapText="1"/>
    </xf>
    <xf numFmtId="0" fontId="0" fillId="0" borderId="7" xfId="0" pivotButton="1" applyBorder="1" applyAlignment="1">
      <alignment vertical="center" wrapText="1"/>
    </xf>
    <xf numFmtId="0" fontId="0" fillId="0" borderId="32" xfId="0" applyBorder="1" applyAlignment="1">
      <alignment vertical="center" wrapText="1"/>
    </xf>
    <xf numFmtId="0" fontId="0" fillId="0" borderId="7" xfId="0" applyBorder="1" applyAlignment="1">
      <alignment vertical="center" wrapText="1"/>
    </xf>
    <xf numFmtId="0" fontId="2" fillId="9" borderId="1" xfId="4" applyFill="1" applyBorder="1" applyAlignment="1">
      <alignment horizontal="center" vertical="center" wrapText="1"/>
    </xf>
    <xf numFmtId="14" fontId="3" fillId="15" borderId="1" xfId="0" applyNumberFormat="1" applyFont="1" applyFill="1" applyBorder="1" applyAlignment="1">
      <alignment horizontal="center" vertical="center" wrapText="1"/>
    </xf>
    <xf numFmtId="0" fontId="3" fillId="15" borderId="5" xfId="0" applyFont="1" applyFill="1" applyBorder="1" applyAlignment="1">
      <alignment horizontal="center" vertical="center" wrapText="1"/>
    </xf>
    <xf numFmtId="0" fontId="3" fillId="15" borderId="1" xfId="0" applyFont="1" applyFill="1" applyBorder="1" applyAlignment="1">
      <alignment horizontal="center" vertical="center" wrapText="1"/>
    </xf>
    <xf numFmtId="165" fontId="3" fillId="15" borderId="1" xfId="2" applyNumberFormat="1" applyFont="1" applyFill="1" applyBorder="1" applyAlignment="1">
      <alignment horizontal="center" vertical="center" wrapText="1"/>
    </xf>
  </cellXfs>
  <cellStyles count="7">
    <cellStyle name="Hipervínculo" xfId="4" builtinId="8"/>
    <cellStyle name="Hyperlink" xfId="3" xr:uid="{32448D96-274A-46C0-A755-D740315C0568}"/>
    <cellStyle name="Millares" xfId="1" builtinId="3"/>
    <cellStyle name="Moneda" xfId="2" builtinId="4"/>
    <cellStyle name="Moneda [0]" xfId="5" builtinId="7"/>
    <cellStyle name="Normal" xfId="0" builtinId="0"/>
    <cellStyle name="Porcentaje" xfId="6" builtinId="5"/>
  </cellStyles>
  <dxfs count="3444">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dxf>
    <dxf>
      <alignment vertical="center"/>
    </dxf>
    <dxf>
      <alignment vertical="center"/>
    </dxf>
    <dxf>
      <alignment vertical="center"/>
    </dxf>
    <dxf>
      <alignment vertical="center"/>
    </dxf>
    <dxf>
      <alignment vertical="center"/>
    </dxf>
    <dxf>
      <font>
        <color theme="4" tint="0.79998168889431442"/>
      </font>
    </dxf>
    <dxf>
      <alignment wrapText="1"/>
    </dxf>
    <dxf>
      <font>
        <color theme="4" tint="0.79998168889431442"/>
      </font>
    </dxf>
    <dxf>
      <alignment horizontal="center"/>
    </dxf>
    <dxf>
      <alignment horizont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border>
    </dxf>
    <dxf>
      <border>
        <left style="medium">
          <color indexed="64"/>
        </left>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right style="medium">
          <color indexed="64"/>
        </right>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bgColor theme="7" tint="0.79998168889431442"/>
        </patternFill>
      </fill>
    </dxf>
    <dxf>
      <fill>
        <patternFill>
          <bgColor theme="7" tint="0.79998168889431442"/>
        </patternFill>
      </fill>
    </dxf>
    <dxf>
      <border>
        <left/>
        <right/>
        <top/>
        <bottom/>
        <horizontal/>
      </border>
    </dxf>
    <dxf>
      <border>
        <left/>
        <right/>
        <top/>
        <bottom/>
        <horizontal/>
      </border>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patternType="solid">
          <bgColor theme="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top style="medium">
          <color indexed="64"/>
        </top>
      </border>
    </dxf>
    <dxf>
      <border>
        <left/>
        <right/>
        <top/>
        <bottom/>
        <vertical/>
      </border>
    </dxf>
    <dxf>
      <border>
        <left style="medium">
          <color indexed="64"/>
        </left>
        <top style="medium">
          <color indexed="64"/>
        </top>
        <bottom style="medium">
          <color indexed="64"/>
        </bottom>
      </border>
    </dxf>
    <dxf>
      <border>
        <left style="thin">
          <color indexed="64"/>
        </left>
        <top style="thin">
          <color indexed="64"/>
        </top>
        <bottom style="thin">
          <color indexed="64"/>
        </bottom>
        <horizontal style="thin">
          <color indexed="64"/>
        </horizontal>
      </border>
    </dxf>
    <dxf>
      <border>
        <left style="medium">
          <color indexed="64"/>
        </left>
        <bottom style="medium">
          <color indexed="64"/>
        </bottom>
      </border>
    </dxf>
    <dxf>
      <border>
        <left style="medium">
          <color indexed="64"/>
        </left>
        <bottom style="medium">
          <color indexed="64"/>
        </bottom>
      </border>
    </dxf>
    <dxf>
      <border>
        <right style="medium">
          <color indexed="64"/>
        </right>
        <top style="medium">
          <color indexed="64"/>
        </top>
      </border>
    </dxf>
    <dxf>
      <border>
        <right style="medium">
          <color indexed="64"/>
        </right>
        <top style="medium">
          <color indexed="64"/>
        </top>
      </border>
    </dxf>
    <dxf>
      <border>
        <left style="medium">
          <color indexed="64"/>
        </left>
        <right style="medium">
          <color indexed="64"/>
        </right>
        <top style="medium">
          <color indexed="64"/>
        </top>
        <bottom style="medium">
          <color indexed="64"/>
        </bottom>
      </border>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border>
        <left style="medium">
          <color indexed="64"/>
        </left>
        <right style="medium">
          <color indexed="64"/>
        </right>
        <top style="medium">
          <color indexed="64"/>
        </top>
      </border>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alignment wrapText="0"/>
    </dxf>
    <dxf>
      <alignment wrapText="0"/>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left style="medium">
          <color indexed="64"/>
        </left>
        <right style="medium">
          <color indexed="64"/>
        </right>
        <top style="medium">
          <color indexed="64"/>
        </top>
        <bottom style="medium">
          <color indexed="64"/>
        </bottom>
      </bord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font>
        <color theme="0"/>
      </font>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border>
    </dxf>
    <dxf>
      <border>
        <left style="medium">
          <color indexed="64"/>
        </left>
      </border>
    </dxf>
    <dxf>
      <border>
        <left style="medium">
          <color indexed="64"/>
        </left>
      </border>
    </dxf>
    <dxf>
      <border>
        <left style="medium">
          <color indexed="64"/>
        </left>
      </border>
    </dxf>
    <dxf>
      <border>
        <top style="medium">
          <color indexed="64"/>
        </top>
        <bottom style="medium">
          <color indexed="64"/>
        </bottom>
      </border>
    </dxf>
    <dxf>
      <border>
        <top style="medium">
          <color indexed="64"/>
        </top>
        <bottom style="medium">
          <color indexed="64"/>
        </bottom>
      </border>
    </dxf>
    <dxf>
      <border>
        <bottom style="medium">
          <color indexed="64"/>
        </bottom>
      </border>
    </dxf>
    <dxf>
      <border>
        <bottom style="medium">
          <color indexed="64"/>
        </bottom>
      </border>
    </dxf>
    <dxf>
      <numFmt numFmtId="165" formatCode="_-&quot;$&quot;\ * #,##0_-;\-&quot;$&quot;\ * #,##0_-;_-&quot;$&quot;\ * &quot;-&quot;??_-;_-@_-"/>
    </dxf>
    <dxf>
      <border>
        <top style="medium">
          <color indexed="64"/>
        </top>
      </border>
    </dxf>
    <dxf>
      <border>
        <top style="medium">
          <color indexed="64"/>
        </top>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alignment wrapText="1"/>
    </dxf>
    <dxf>
      <alignment wrapText="1"/>
    </dxf>
    <dxf>
      <alignment horizontal="center"/>
    </dxf>
    <dxf>
      <font>
        <color theme="4" tint="0.79998168889431442"/>
      </fon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left style="medium">
          <color indexed="64"/>
        </left>
        <right style="medium">
          <color indexed="64"/>
        </right>
      </border>
    </dxf>
    <dxf>
      <border>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bottom style="medium">
          <color indexed="64"/>
        </bottom>
      </border>
    </dxf>
    <dxf>
      <border>
        <left style="medium">
          <color indexed="64"/>
        </left>
      </border>
    </dxf>
    <dxf>
      <alignment horizontal="center"/>
    </dxf>
    <dxf>
      <border>
        <left style="medium">
          <color indexed="64"/>
        </left>
        <right style="medium">
          <color indexed="64"/>
        </right>
      </border>
    </dxf>
    <dxf>
      <border>
        <top style="medium">
          <color indexed="64"/>
        </top>
      </border>
    </dxf>
    <dxf>
      <font>
        <color theme="4" tint="0.79998168889431442"/>
      </font>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horizontal="left"/>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rder>
    </dxf>
    <dxf>
      <fill>
        <patternFill patternType="solid">
          <bgColor theme="0" tint="-0.14999847407452621"/>
        </patternFill>
      </fill>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right style="medium">
          <color indexed="64"/>
        </right>
      </border>
    </dxf>
    <dxf>
      <border>
        <left style="medium">
          <color indexed="64"/>
        </left>
        <right style="medium">
          <color indexed="64"/>
        </right>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alignment wrapText="1"/>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bgColor theme="0" tint="-0.14999847407452621"/>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top style="medium">
          <color indexed="64"/>
        </top>
      </border>
    </dxf>
    <dxf>
      <border>
        <top style="medium">
          <color indexed="64"/>
        </top>
      </border>
    </dxf>
    <dxf>
      <font>
        <color theme="4" tint="0.79998168889431442"/>
      </font>
    </dxf>
    <dxf>
      <font>
        <b val="0"/>
      </font>
    </dxf>
    <dxf>
      <font>
        <b val="0"/>
      </font>
    </dxf>
    <dxf>
      <font>
        <b val="0"/>
      </font>
    </dxf>
    <dxf>
      <font>
        <b val="0"/>
      </font>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dxf>
    <dxf>
      <alignment vertical="center"/>
    </dxf>
    <dxf>
      <alignment vertical="center"/>
    </dxf>
    <dxf>
      <alignment vertical="center"/>
    </dxf>
    <dxf>
      <alignment vertical="center"/>
    </dxf>
    <dxf>
      <alignment vertical="center"/>
    </dxf>
    <dxf>
      <font>
        <color theme="4" tint="0.79998168889431442"/>
      </font>
    </dxf>
    <dxf>
      <alignment wrapText="1"/>
    </dxf>
    <dxf>
      <font>
        <color theme="4" tint="0.79998168889431442"/>
      </font>
    </dxf>
    <dxf>
      <alignment horizontal="center"/>
    </dxf>
    <dxf>
      <alignment horizont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border>
    </dxf>
    <dxf>
      <border>
        <left style="medium">
          <color indexed="64"/>
        </left>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right style="medium">
          <color indexed="64"/>
        </right>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bgColor theme="7" tint="0.79998168889431442"/>
        </patternFill>
      </fill>
    </dxf>
    <dxf>
      <fill>
        <patternFill>
          <bgColor theme="7" tint="0.79998168889431442"/>
        </patternFill>
      </fill>
    </dxf>
    <dxf>
      <border>
        <left/>
        <right/>
        <top/>
        <bottom/>
        <horizontal/>
      </border>
    </dxf>
    <dxf>
      <border>
        <left/>
        <right/>
        <top/>
        <bottom/>
        <horizontal/>
      </border>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patternType="solid">
          <bgColor theme="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top style="medium">
          <color indexed="64"/>
        </top>
      </border>
    </dxf>
    <dxf>
      <border>
        <left/>
        <right/>
        <top/>
        <bottom/>
        <vertical/>
      </border>
    </dxf>
    <dxf>
      <border>
        <left style="medium">
          <color indexed="64"/>
        </left>
        <top style="medium">
          <color indexed="64"/>
        </top>
        <bottom style="medium">
          <color indexed="64"/>
        </bottom>
      </border>
    </dxf>
    <dxf>
      <border>
        <left style="thin">
          <color indexed="64"/>
        </left>
        <top style="thin">
          <color indexed="64"/>
        </top>
        <bottom style="thin">
          <color indexed="64"/>
        </bottom>
        <horizontal style="thin">
          <color indexed="64"/>
        </horizontal>
      </border>
    </dxf>
    <dxf>
      <border>
        <left style="medium">
          <color indexed="64"/>
        </left>
        <bottom style="medium">
          <color indexed="64"/>
        </bottom>
      </border>
    </dxf>
    <dxf>
      <border>
        <left style="medium">
          <color indexed="64"/>
        </left>
        <bottom style="medium">
          <color indexed="64"/>
        </bottom>
      </border>
    </dxf>
    <dxf>
      <border>
        <right style="medium">
          <color indexed="64"/>
        </right>
        <top style="medium">
          <color indexed="64"/>
        </top>
      </border>
    </dxf>
    <dxf>
      <border>
        <right style="medium">
          <color indexed="64"/>
        </right>
        <top style="medium">
          <color indexed="64"/>
        </top>
      </border>
    </dxf>
    <dxf>
      <border>
        <left style="medium">
          <color indexed="64"/>
        </left>
        <right style="medium">
          <color indexed="64"/>
        </right>
        <top style="medium">
          <color indexed="64"/>
        </top>
        <bottom style="medium">
          <color indexed="64"/>
        </bottom>
      </border>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border>
        <left style="medium">
          <color indexed="64"/>
        </left>
        <right style="medium">
          <color indexed="64"/>
        </right>
        <top style="medium">
          <color indexed="64"/>
        </top>
      </border>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alignment wrapText="0"/>
    </dxf>
    <dxf>
      <alignment wrapText="0"/>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left style="medium">
          <color indexed="64"/>
        </left>
        <right style="medium">
          <color indexed="64"/>
        </right>
        <top style="medium">
          <color indexed="64"/>
        </top>
        <bottom style="medium">
          <color indexed="64"/>
        </bottom>
      </bord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font>
        <color theme="0"/>
      </font>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border>
    </dxf>
    <dxf>
      <border>
        <left style="medium">
          <color indexed="64"/>
        </left>
      </border>
    </dxf>
    <dxf>
      <border>
        <left style="medium">
          <color indexed="64"/>
        </left>
      </border>
    </dxf>
    <dxf>
      <border>
        <left style="medium">
          <color indexed="64"/>
        </left>
      </border>
    </dxf>
    <dxf>
      <border>
        <top style="medium">
          <color indexed="64"/>
        </top>
        <bottom style="medium">
          <color indexed="64"/>
        </bottom>
      </border>
    </dxf>
    <dxf>
      <border>
        <top style="medium">
          <color indexed="64"/>
        </top>
        <bottom style="medium">
          <color indexed="64"/>
        </bottom>
      </border>
    </dxf>
    <dxf>
      <border>
        <bottom style="medium">
          <color indexed="64"/>
        </bottom>
      </border>
    </dxf>
    <dxf>
      <border>
        <bottom style="medium">
          <color indexed="64"/>
        </bottom>
      </border>
    </dxf>
    <dxf>
      <numFmt numFmtId="165" formatCode="_-&quot;$&quot;\ * #,##0_-;\-&quot;$&quot;\ * #,##0_-;_-&quot;$&quot;\ * &quot;-&quot;??_-;_-@_-"/>
    </dxf>
    <dxf>
      <border>
        <top style="medium">
          <color indexed="64"/>
        </top>
      </border>
    </dxf>
    <dxf>
      <border>
        <top style="medium">
          <color indexed="64"/>
        </top>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alignment wrapText="1"/>
    </dxf>
    <dxf>
      <alignment wrapText="1"/>
    </dxf>
    <dxf>
      <alignment horizontal="center"/>
    </dxf>
    <dxf>
      <font>
        <color theme="4" tint="0.79998168889431442"/>
      </fon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left style="medium">
          <color indexed="64"/>
        </left>
        <right style="medium">
          <color indexed="64"/>
        </right>
      </border>
    </dxf>
    <dxf>
      <border>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bottom style="medium">
          <color indexed="64"/>
        </bottom>
      </border>
    </dxf>
    <dxf>
      <border>
        <left style="medium">
          <color indexed="64"/>
        </left>
      </border>
    </dxf>
    <dxf>
      <alignment horizontal="center"/>
    </dxf>
    <dxf>
      <border>
        <left style="medium">
          <color indexed="64"/>
        </left>
        <right style="medium">
          <color indexed="64"/>
        </right>
      </border>
    </dxf>
    <dxf>
      <border>
        <top style="medium">
          <color indexed="64"/>
        </top>
      </border>
    </dxf>
    <dxf>
      <font>
        <color theme="4" tint="0.79998168889431442"/>
      </font>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horizontal="left"/>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rder>
    </dxf>
    <dxf>
      <fill>
        <patternFill patternType="solid">
          <bgColor theme="0" tint="-0.14999847407452621"/>
        </patternFill>
      </fill>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right style="medium">
          <color indexed="64"/>
        </right>
      </border>
    </dxf>
    <dxf>
      <border>
        <left style="medium">
          <color indexed="64"/>
        </left>
        <right style="medium">
          <color indexed="64"/>
        </right>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alignment wrapText="1"/>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bgColor theme="0" tint="-0.14999847407452621"/>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top style="medium">
          <color indexed="64"/>
        </top>
      </border>
    </dxf>
    <dxf>
      <border>
        <top style="medium">
          <color indexed="64"/>
        </top>
      </border>
    </dxf>
    <dxf>
      <font>
        <color theme="4" tint="0.79998168889431442"/>
      </font>
    </dxf>
    <dxf>
      <font>
        <b val="0"/>
      </font>
    </dxf>
    <dxf>
      <font>
        <b val="0"/>
      </font>
    </dxf>
    <dxf>
      <font>
        <b val="0"/>
      </font>
    </dxf>
    <dxf>
      <font>
        <b val="0"/>
      </font>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dxf>
    <dxf>
      <alignment vertical="center"/>
    </dxf>
    <dxf>
      <alignment vertical="center"/>
    </dxf>
    <dxf>
      <alignment vertical="center"/>
    </dxf>
    <dxf>
      <alignment vertical="center"/>
    </dxf>
    <dxf>
      <alignment vertical="center"/>
    </dxf>
    <dxf>
      <font>
        <color theme="4" tint="0.79998168889431442"/>
      </font>
    </dxf>
    <dxf>
      <alignment wrapText="1"/>
    </dxf>
    <dxf>
      <font>
        <color theme="4" tint="0.79998168889431442"/>
      </font>
    </dxf>
    <dxf>
      <alignment horizontal="center"/>
    </dxf>
    <dxf>
      <alignment horizont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border>
    </dxf>
    <dxf>
      <border>
        <left style="medium">
          <color indexed="64"/>
        </left>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right style="medium">
          <color indexed="64"/>
        </right>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bgColor theme="7" tint="0.79998168889431442"/>
        </patternFill>
      </fill>
    </dxf>
    <dxf>
      <fill>
        <patternFill>
          <bgColor theme="7" tint="0.79998168889431442"/>
        </patternFill>
      </fill>
    </dxf>
    <dxf>
      <border>
        <left/>
        <right/>
        <top/>
        <bottom/>
        <horizontal/>
      </border>
    </dxf>
    <dxf>
      <border>
        <left/>
        <right/>
        <top/>
        <bottom/>
        <horizontal/>
      </border>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patternType="solid">
          <bgColor theme="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top style="medium">
          <color indexed="64"/>
        </top>
      </border>
    </dxf>
    <dxf>
      <border>
        <left/>
        <right/>
        <top/>
        <bottom/>
        <vertical/>
      </border>
    </dxf>
    <dxf>
      <border>
        <left style="medium">
          <color indexed="64"/>
        </left>
        <top style="medium">
          <color indexed="64"/>
        </top>
        <bottom style="medium">
          <color indexed="64"/>
        </bottom>
      </border>
    </dxf>
    <dxf>
      <border>
        <left style="thin">
          <color indexed="64"/>
        </left>
        <top style="thin">
          <color indexed="64"/>
        </top>
        <bottom style="thin">
          <color indexed="64"/>
        </bottom>
        <horizontal style="thin">
          <color indexed="64"/>
        </horizontal>
      </border>
    </dxf>
    <dxf>
      <border>
        <left style="medium">
          <color indexed="64"/>
        </left>
        <bottom style="medium">
          <color indexed="64"/>
        </bottom>
      </border>
    </dxf>
    <dxf>
      <border>
        <left style="medium">
          <color indexed="64"/>
        </left>
        <bottom style="medium">
          <color indexed="64"/>
        </bottom>
      </border>
    </dxf>
    <dxf>
      <border>
        <right style="medium">
          <color indexed="64"/>
        </right>
        <top style="medium">
          <color indexed="64"/>
        </top>
      </border>
    </dxf>
    <dxf>
      <border>
        <right style="medium">
          <color indexed="64"/>
        </right>
        <top style="medium">
          <color indexed="64"/>
        </top>
      </border>
    </dxf>
    <dxf>
      <border>
        <left style="medium">
          <color indexed="64"/>
        </left>
        <right style="medium">
          <color indexed="64"/>
        </right>
        <top style="medium">
          <color indexed="64"/>
        </top>
        <bottom style="medium">
          <color indexed="64"/>
        </bottom>
      </border>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border>
        <left style="medium">
          <color indexed="64"/>
        </left>
        <right style="medium">
          <color indexed="64"/>
        </right>
        <top style="medium">
          <color indexed="64"/>
        </top>
      </border>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alignment wrapText="0"/>
    </dxf>
    <dxf>
      <alignment wrapText="0"/>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left style="medium">
          <color indexed="64"/>
        </left>
        <right style="medium">
          <color indexed="64"/>
        </right>
        <top style="medium">
          <color indexed="64"/>
        </top>
        <bottom style="medium">
          <color indexed="64"/>
        </bottom>
      </bord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font>
        <color theme="0"/>
      </font>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border>
    </dxf>
    <dxf>
      <border>
        <left style="medium">
          <color indexed="64"/>
        </left>
      </border>
    </dxf>
    <dxf>
      <border>
        <left style="medium">
          <color indexed="64"/>
        </left>
      </border>
    </dxf>
    <dxf>
      <border>
        <left style="medium">
          <color indexed="64"/>
        </left>
      </border>
    </dxf>
    <dxf>
      <border>
        <top style="medium">
          <color indexed="64"/>
        </top>
        <bottom style="medium">
          <color indexed="64"/>
        </bottom>
      </border>
    </dxf>
    <dxf>
      <border>
        <top style="medium">
          <color indexed="64"/>
        </top>
        <bottom style="medium">
          <color indexed="64"/>
        </bottom>
      </border>
    </dxf>
    <dxf>
      <border>
        <bottom style="medium">
          <color indexed="64"/>
        </bottom>
      </border>
    </dxf>
    <dxf>
      <border>
        <bottom style="medium">
          <color indexed="64"/>
        </bottom>
      </border>
    </dxf>
    <dxf>
      <numFmt numFmtId="165" formatCode="_-&quot;$&quot;\ * #,##0_-;\-&quot;$&quot;\ * #,##0_-;_-&quot;$&quot;\ * &quot;-&quot;??_-;_-@_-"/>
    </dxf>
    <dxf>
      <border>
        <top style="medium">
          <color indexed="64"/>
        </top>
      </border>
    </dxf>
    <dxf>
      <border>
        <top style="medium">
          <color indexed="64"/>
        </top>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alignment wrapText="1"/>
    </dxf>
    <dxf>
      <alignment wrapText="1"/>
    </dxf>
    <dxf>
      <alignment horizontal="center"/>
    </dxf>
    <dxf>
      <font>
        <color theme="4" tint="0.79998168889431442"/>
      </fon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left style="medium">
          <color indexed="64"/>
        </left>
        <right style="medium">
          <color indexed="64"/>
        </right>
      </border>
    </dxf>
    <dxf>
      <border>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bottom style="medium">
          <color indexed="64"/>
        </bottom>
      </border>
    </dxf>
    <dxf>
      <border>
        <left style="medium">
          <color indexed="64"/>
        </left>
      </border>
    </dxf>
    <dxf>
      <alignment horizontal="center"/>
    </dxf>
    <dxf>
      <border>
        <left style="medium">
          <color indexed="64"/>
        </left>
        <right style="medium">
          <color indexed="64"/>
        </right>
      </border>
    </dxf>
    <dxf>
      <border>
        <top style="medium">
          <color indexed="64"/>
        </top>
      </border>
    </dxf>
    <dxf>
      <font>
        <color theme="4" tint="0.79998168889431442"/>
      </font>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horizontal="left"/>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rder>
    </dxf>
    <dxf>
      <fill>
        <patternFill patternType="solid">
          <bgColor theme="0" tint="-0.14999847407452621"/>
        </patternFill>
      </fill>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right style="medium">
          <color indexed="64"/>
        </right>
      </border>
    </dxf>
    <dxf>
      <border>
        <left style="medium">
          <color indexed="64"/>
        </left>
        <right style="medium">
          <color indexed="64"/>
        </right>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alignment wrapText="1"/>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bgColor theme="0" tint="-0.14999847407452621"/>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top style="medium">
          <color indexed="64"/>
        </top>
      </border>
    </dxf>
    <dxf>
      <border>
        <top style="medium">
          <color indexed="64"/>
        </top>
      </border>
    </dxf>
    <dxf>
      <font>
        <color theme="4" tint="0.79998168889431442"/>
      </font>
    </dxf>
    <dxf>
      <font>
        <b val="0"/>
      </font>
    </dxf>
    <dxf>
      <font>
        <b val="0"/>
      </font>
    </dxf>
    <dxf>
      <font>
        <b val="0"/>
      </font>
    </dxf>
    <dxf>
      <font>
        <b val="0"/>
      </font>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dxf>
    <dxf>
      <alignment vertical="center"/>
    </dxf>
    <dxf>
      <alignment vertical="center"/>
    </dxf>
    <dxf>
      <alignment vertical="center"/>
    </dxf>
    <dxf>
      <alignment vertical="center"/>
    </dxf>
    <dxf>
      <alignment vertical="center"/>
    </dxf>
    <dxf>
      <font>
        <color theme="4" tint="0.79998168889431442"/>
      </font>
    </dxf>
    <dxf>
      <alignment wrapText="1"/>
    </dxf>
    <dxf>
      <font>
        <color theme="4" tint="0.79998168889431442"/>
      </font>
    </dxf>
    <dxf>
      <alignment horizontal="center"/>
    </dxf>
    <dxf>
      <alignment horizont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border>
    </dxf>
    <dxf>
      <border>
        <left style="medium">
          <color indexed="64"/>
        </left>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right style="medium">
          <color indexed="64"/>
        </right>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bgColor theme="7" tint="0.79998168889431442"/>
        </patternFill>
      </fill>
    </dxf>
    <dxf>
      <fill>
        <patternFill>
          <bgColor theme="7" tint="0.79998168889431442"/>
        </patternFill>
      </fill>
    </dxf>
    <dxf>
      <border>
        <left/>
        <right/>
        <top/>
        <bottom/>
        <horizontal/>
      </border>
    </dxf>
    <dxf>
      <border>
        <left/>
        <right/>
        <top/>
        <bottom/>
        <horizontal/>
      </border>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patternType="solid">
          <bgColor theme="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top style="medium">
          <color indexed="64"/>
        </top>
      </border>
    </dxf>
    <dxf>
      <border>
        <left/>
        <right/>
        <top/>
        <bottom/>
        <vertical/>
      </border>
    </dxf>
    <dxf>
      <border>
        <left style="medium">
          <color indexed="64"/>
        </left>
        <top style="medium">
          <color indexed="64"/>
        </top>
        <bottom style="medium">
          <color indexed="64"/>
        </bottom>
      </border>
    </dxf>
    <dxf>
      <border>
        <left style="thin">
          <color indexed="64"/>
        </left>
        <top style="thin">
          <color indexed="64"/>
        </top>
        <bottom style="thin">
          <color indexed="64"/>
        </bottom>
        <horizontal style="thin">
          <color indexed="64"/>
        </horizontal>
      </border>
    </dxf>
    <dxf>
      <border>
        <left style="medium">
          <color indexed="64"/>
        </left>
        <bottom style="medium">
          <color indexed="64"/>
        </bottom>
      </border>
    </dxf>
    <dxf>
      <border>
        <left style="medium">
          <color indexed="64"/>
        </left>
        <bottom style="medium">
          <color indexed="64"/>
        </bottom>
      </border>
    </dxf>
    <dxf>
      <border>
        <right style="medium">
          <color indexed="64"/>
        </right>
        <top style="medium">
          <color indexed="64"/>
        </top>
      </border>
    </dxf>
    <dxf>
      <border>
        <right style="medium">
          <color indexed="64"/>
        </right>
        <top style="medium">
          <color indexed="64"/>
        </top>
      </border>
    </dxf>
    <dxf>
      <border>
        <left style="medium">
          <color indexed="64"/>
        </left>
        <right style="medium">
          <color indexed="64"/>
        </right>
        <top style="medium">
          <color indexed="64"/>
        </top>
        <bottom style="medium">
          <color indexed="64"/>
        </bottom>
      </border>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border>
        <left style="medium">
          <color indexed="64"/>
        </left>
        <right style="medium">
          <color indexed="64"/>
        </right>
        <top style="medium">
          <color indexed="64"/>
        </top>
      </border>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alignment wrapText="0"/>
    </dxf>
    <dxf>
      <alignment wrapText="0"/>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left style="medium">
          <color indexed="64"/>
        </left>
        <right style="medium">
          <color indexed="64"/>
        </right>
        <top style="medium">
          <color indexed="64"/>
        </top>
        <bottom style="medium">
          <color indexed="64"/>
        </bottom>
      </bord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font>
        <color theme="0"/>
      </font>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border>
    </dxf>
    <dxf>
      <border>
        <left style="medium">
          <color indexed="64"/>
        </left>
      </border>
    </dxf>
    <dxf>
      <border>
        <left style="medium">
          <color indexed="64"/>
        </left>
      </border>
    </dxf>
    <dxf>
      <border>
        <left style="medium">
          <color indexed="64"/>
        </left>
      </border>
    </dxf>
    <dxf>
      <border>
        <top style="medium">
          <color indexed="64"/>
        </top>
        <bottom style="medium">
          <color indexed="64"/>
        </bottom>
      </border>
    </dxf>
    <dxf>
      <border>
        <top style="medium">
          <color indexed="64"/>
        </top>
        <bottom style="medium">
          <color indexed="64"/>
        </bottom>
      </border>
    </dxf>
    <dxf>
      <border>
        <bottom style="medium">
          <color indexed="64"/>
        </bottom>
      </border>
    </dxf>
    <dxf>
      <border>
        <bottom style="medium">
          <color indexed="64"/>
        </bottom>
      </border>
    </dxf>
    <dxf>
      <numFmt numFmtId="165" formatCode="_-&quot;$&quot;\ * #,##0_-;\-&quot;$&quot;\ * #,##0_-;_-&quot;$&quot;\ * &quot;-&quot;??_-;_-@_-"/>
    </dxf>
    <dxf>
      <border>
        <top style="medium">
          <color indexed="64"/>
        </top>
      </border>
    </dxf>
    <dxf>
      <border>
        <top style="medium">
          <color indexed="64"/>
        </top>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alignment wrapText="1"/>
    </dxf>
    <dxf>
      <alignment wrapText="1"/>
    </dxf>
    <dxf>
      <alignment horizontal="center"/>
    </dxf>
    <dxf>
      <font>
        <color theme="4" tint="0.79998168889431442"/>
      </fon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left style="medium">
          <color indexed="64"/>
        </left>
        <right style="medium">
          <color indexed="64"/>
        </right>
      </border>
    </dxf>
    <dxf>
      <border>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bottom style="medium">
          <color indexed="64"/>
        </bottom>
      </border>
    </dxf>
    <dxf>
      <border>
        <left style="medium">
          <color indexed="64"/>
        </left>
      </border>
    </dxf>
    <dxf>
      <alignment horizontal="center"/>
    </dxf>
    <dxf>
      <border>
        <left style="medium">
          <color indexed="64"/>
        </left>
        <right style="medium">
          <color indexed="64"/>
        </right>
      </border>
    </dxf>
    <dxf>
      <border>
        <top style="medium">
          <color indexed="64"/>
        </top>
      </border>
    </dxf>
    <dxf>
      <font>
        <color theme="4" tint="0.79998168889431442"/>
      </font>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horizontal="left"/>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rder>
    </dxf>
    <dxf>
      <fill>
        <patternFill patternType="solid">
          <bgColor theme="0" tint="-0.14999847407452621"/>
        </patternFill>
      </fill>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right style="medium">
          <color indexed="64"/>
        </right>
      </border>
    </dxf>
    <dxf>
      <border>
        <left style="medium">
          <color indexed="64"/>
        </left>
        <right style="medium">
          <color indexed="64"/>
        </right>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alignment wrapText="1"/>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bgColor theme="0" tint="-0.14999847407452621"/>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top style="medium">
          <color indexed="64"/>
        </top>
      </border>
    </dxf>
    <dxf>
      <border>
        <top style="medium">
          <color indexed="64"/>
        </top>
      </border>
    </dxf>
    <dxf>
      <font>
        <color theme="4" tint="0.79998168889431442"/>
      </font>
    </dxf>
    <dxf>
      <font>
        <b val="0"/>
      </font>
    </dxf>
    <dxf>
      <font>
        <b val="0"/>
      </font>
    </dxf>
    <dxf>
      <font>
        <b val="0"/>
      </font>
    </dxf>
    <dxf>
      <font>
        <b val="0"/>
      </font>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dxf>
    <dxf>
      <alignment vertical="center"/>
    </dxf>
    <dxf>
      <alignment vertical="center"/>
    </dxf>
    <dxf>
      <alignment vertical="center"/>
    </dxf>
    <dxf>
      <alignment vertical="center"/>
    </dxf>
    <dxf>
      <alignment vertical="center"/>
    </dxf>
    <dxf>
      <font>
        <color theme="4" tint="0.79998168889431442"/>
      </font>
    </dxf>
    <dxf>
      <alignment wrapText="1"/>
    </dxf>
    <dxf>
      <font>
        <color theme="4" tint="0.79998168889431442"/>
      </font>
    </dxf>
    <dxf>
      <alignment horizontal="center"/>
    </dxf>
    <dxf>
      <alignment horizont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border>
    </dxf>
    <dxf>
      <border>
        <left style="medium">
          <color indexed="64"/>
        </left>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right style="medium">
          <color indexed="64"/>
        </right>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bgColor theme="7" tint="0.79998168889431442"/>
        </patternFill>
      </fill>
    </dxf>
    <dxf>
      <fill>
        <patternFill>
          <bgColor theme="7" tint="0.79998168889431442"/>
        </patternFill>
      </fill>
    </dxf>
    <dxf>
      <border>
        <left/>
        <right/>
        <top/>
        <bottom/>
        <horizontal/>
      </border>
    </dxf>
    <dxf>
      <border>
        <left/>
        <right/>
        <top/>
        <bottom/>
        <horizontal/>
      </border>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patternType="solid">
          <bgColor theme="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top style="medium">
          <color indexed="64"/>
        </top>
      </border>
    </dxf>
    <dxf>
      <border>
        <left/>
        <right/>
        <top/>
        <bottom/>
        <vertical/>
      </border>
    </dxf>
    <dxf>
      <border>
        <left style="medium">
          <color indexed="64"/>
        </left>
        <top style="medium">
          <color indexed="64"/>
        </top>
        <bottom style="medium">
          <color indexed="64"/>
        </bottom>
      </border>
    </dxf>
    <dxf>
      <border>
        <left style="thin">
          <color indexed="64"/>
        </left>
        <top style="thin">
          <color indexed="64"/>
        </top>
        <bottom style="thin">
          <color indexed="64"/>
        </bottom>
        <horizontal style="thin">
          <color indexed="64"/>
        </horizontal>
      </border>
    </dxf>
    <dxf>
      <border>
        <left style="medium">
          <color indexed="64"/>
        </left>
        <bottom style="medium">
          <color indexed="64"/>
        </bottom>
      </border>
    </dxf>
    <dxf>
      <border>
        <left style="medium">
          <color indexed="64"/>
        </left>
        <bottom style="medium">
          <color indexed="64"/>
        </bottom>
      </border>
    </dxf>
    <dxf>
      <border>
        <right style="medium">
          <color indexed="64"/>
        </right>
        <top style="medium">
          <color indexed="64"/>
        </top>
      </border>
    </dxf>
    <dxf>
      <border>
        <right style="medium">
          <color indexed="64"/>
        </right>
        <top style="medium">
          <color indexed="64"/>
        </top>
      </border>
    </dxf>
    <dxf>
      <border>
        <left style="medium">
          <color indexed="64"/>
        </left>
        <right style="medium">
          <color indexed="64"/>
        </right>
        <top style="medium">
          <color indexed="64"/>
        </top>
        <bottom style="medium">
          <color indexed="64"/>
        </bottom>
      </border>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border>
        <left style="medium">
          <color indexed="64"/>
        </left>
        <right style="medium">
          <color indexed="64"/>
        </right>
        <top style="medium">
          <color indexed="64"/>
        </top>
      </border>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alignment wrapText="0"/>
    </dxf>
    <dxf>
      <alignment wrapText="0"/>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left style="medium">
          <color indexed="64"/>
        </left>
        <right style="medium">
          <color indexed="64"/>
        </right>
        <top style="medium">
          <color indexed="64"/>
        </top>
        <bottom style="medium">
          <color indexed="64"/>
        </bottom>
      </bord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font>
        <color theme="0"/>
      </font>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border>
    </dxf>
    <dxf>
      <border>
        <left style="medium">
          <color indexed="64"/>
        </left>
      </border>
    </dxf>
    <dxf>
      <border>
        <left style="medium">
          <color indexed="64"/>
        </left>
      </border>
    </dxf>
    <dxf>
      <border>
        <left style="medium">
          <color indexed="64"/>
        </left>
      </border>
    </dxf>
    <dxf>
      <border>
        <top style="medium">
          <color indexed="64"/>
        </top>
        <bottom style="medium">
          <color indexed="64"/>
        </bottom>
      </border>
    </dxf>
    <dxf>
      <border>
        <top style="medium">
          <color indexed="64"/>
        </top>
        <bottom style="medium">
          <color indexed="64"/>
        </bottom>
      </border>
    </dxf>
    <dxf>
      <border>
        <bottom style="medium">
          <color indexed="64"/>
        </bottom>
      </border>
    </dxf>
    <dxf>
      <border>
        <bottom style="medium">
          <color indexed="64"/>
        </bottom>
      </border>
    </dxf>
    <dxf>
      <numFmt numFmtId="165" formatCode="_-&quot;$&quot;\ * #,##0_-;\-&quot;$&quot;\ * #,##0_-;_-&quot;$&quot;\ * &quot;-&quot;??_-;_-@_-"/>
    </dxf>
    <dxf>
      <border>
        <top style="medium">
          <color indexed="64"/>
        </top>
      </border>
    </dxf>
    <dxf>
      <border>
        <top style="medium">
          <color indexed="64"/>
        </top>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alignment wrapText="1"/>
    </dxf>
    <dxf>
      <alignment wrapText="1"/>
    </dxf>
    <dxf>
      <alignment horizontal="center"/>
    </dxf>
    <dxf>
      <font>
        <color theme="4" tint="0.79998168889431442"/>
      </font>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left style="medium">
          <color indexed="64"/>
        </left>
        <right style="medium">
          <color indexed="64"/>
        </right>
      </border>
    </dxf>
    <dxf>
      <border>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bottom style="medium">
          <color indexed="64"/>
        </bottom>
      </border>
    </dxf>
    <dxf>
      <border>
        <left style="medium">
          <color indexed="64"/>
        </left>
      </border>
    </dxf>
    <dxf>
      <alignment horizontal="center"/>
    </dxf>
    <dxf>
      <border>
        <left style="medium">
          <color indexed="64"/>
        </left>
        <right style="medium">
          <color indexed="64"/>
        </right>
      </border>
    </dxf>
    <dxf>
      <border>
        <top style="medium">
          <color indexed="64"/>
        </top>
      </border>
    </dxf>
    <dxf>
      <font>
        <color theme="4" tint="0.79998168889431442"/>
      </font>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horizontal="left"/>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rder>
    </dxf>
    <dxf>
      <fill>
        <patternFill patternType="solid">
          <bgColor theme="0" tint="-0.14999847407452621"/>
        </patternFill>
      </fill>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right style="medium">
          <color indexed="64"/>
        </right>
      </border>
    </dxf>
    <dxf>
      <border>
        <left style="medium">
          <color indexed="64"/>
        </left>
        <right style="medium">
          <color indexed="64"/>
        </right>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alignment wrapText="1"/>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bgColor theme="0" tint="-0.14999847407452621"/>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top style="medium">
          <color indexed="64"/>
        </top>
      </border>
    </dxf>
    <dxf>
      <border>
        <top style="medium">
          <color indexed="64"/>
        </top>
      </border>
    </dxf>
    <dxf>
      <font>
        <color theme="4" tint="0.79998168889431442"/>
      </font>
    </dxf>
    <dxf>
      <font>
        <b val="0"/>
      </font>
    </dxf>
    <dxf>
      <font>
        <b val="0"/>
      </font>
    </dxf>
    <dxf>
      <font>
        <b val="0"/>
      </font>
    </dxf>
    <dxf>
      <font>
        <b val="0"/>
      </font>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dxf>
    <dxf>
      <alignment vertical="center"/>
    </dxf>
    <dxf>
      <alignment vertical="center"/>
    </dxf>
    <dxf>
      <alignment vertical="center"/>
    </dxf>
    <dxf>
      <alignment vertical="center"/>
    </dxf>
    <dxf>
      <alignment vertical="center"/>
    </dxf>
    <dxf>
      <font>
        <color theme="4" tint="0.79998168889431442"/>
      </font>
    </dxf>
    <dxf>
      <alignment wrapText="1"/>
    </dxf>
    <dxf>
      <font>
        <color theme="4" tint="0.79998168889431442"/>
      </font>
    </dxf>
    <dxf>
      <alignment horizontal="center"/>
    </dxf>
    <dxf>
      <alignment horizont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border>
    </dxf>
    <dxf>
      <border>
        <left style="medium">
          <color indexed="64"/>
        </left>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right style="medium">
          <color indexed="64"/>
        </right>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bgColor theme="7" tint="0.79998168889431442"/>
        </patternFill>
      </fill>
    </dxf>
    <dxf>
      <fill>
        <patternFill>
          <bgColor theme="7" tint="0.79998168889431442"/>
        </patternFill>
      </fill>
    </dxf>
    <dxf>
      <border>
        <left/>
        <right/>
        <top/>
        <bottom/>
        <horizontal/>
      </border>
    </dxf>
    <dxf>
      <border>
        <left/>
        <right/>
        <top/>
        <bottom/>
        <horizontal/>
      </border>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patternType="solid">
          <bgColor theme="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top style="medium">
          <color indexed="64"/>
        </top>
      </border>
    </dxf>
    <dxf>
      <border>
        <left/>
        <right/>
        <top/>
        <bottom/>
        <vertical/>
      </border>
    </dxf>
    <dxf>
      <border>
        <left style="medium">
          <color indexed="64"/>
        </left>
        <top style="medium">
          <color indexed="64"/>
        </top>
        <bottom style="medium">
          <color indexed="64"/>
        </bottom>
      </border>
    </dxf>
    <dxf>
      <border>
        <left style="thin">
          <color indexed="64"/>
        </left>
        <top style="thin">
          <color indexed="64"/>
        </top>
        <bottom style="thin">
          <color indexed="64"/>
        </bottom>
        <horizontal style="thin">
          <color indexed="64"/>
        </horizontal>
      </border>
    </dxf>
    <dxf>
      <border>
        <left style="medium">
          <color indexed="64"/>
        </left>
        <bottom style="medium">
          <color indexed="64"/>
        </bottom>
      </border>
    </dxf>
    <dxf>
      <border>
        <left style="medium">
          <color indexed="64"/>
        </left>
        <bottom style="medium">
          <color indexed="64"/>
        </bottom>
      </border>
    </dxf>
    <dxf>
      <border>
        <right style="medium">
          <color indexed="64"/>
        </right>
        <top style="medium">
          <color indexed="64"/>
        </top>
      </border>
    </dxf>
    <dxf>
      <border>
        <right style="medium">
          <color indexed="64"/>
        </right>
        <top style="medium">
          <color indexed="64"/>
        </top>
      </border>
    </dxf>
    <dxf>
      <border>
        <left style="medium">
          <color indexed="64"/>
        </left>
        <right style="medium">
          <color indexed="64"/>
        </right>
        <top style="medium">
          <color indexed="64"/>
        </top>
        <bottom style="medium">
          <color indexed="64"/>
        </bottom>
      </border>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border>
        <left style="medium">
          <color indexed="64"/>
        </left>
        <right style="medium">
          <color indexed="64"/>
        </right>
        <top style="medium">
          <color indexed="64"/>
        </top>
      </border>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alignment wrapText="0"/>
    </dxf>
    <dxf>
      <alignment wrapText="0"/>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left style="medium">
          <color indexed="64"/>
        </left>
        <right style="medium">
          <color indexed="64"/>
        </right>
        <top style="medium">
          <color indexed="64"/>
        </top>
        <bottom style="medium">
          <color indexed="64"/>
        </bottom>
      </bord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font>
        <color theme="0"/>
      </font>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dxf>
    <dxf>
      <alignment vertical="center"/>
    </dxf>
    <dxf>
      <alignment vertical="center"/>
    </dxf>
    <dxf>
      <alignment vertical="center"/>
    </dxf>
    <dxf>
      <alignment vertical="center"/>
    </dxf>
    <dxf>
      <alignment vertical="center"/>
    </dxf>
    <dxf>
      <font>
        <color theme="4" tint="0.79998168889431442"/>
      </font>
    </dxf>
    <dxf>
      <alignment wrapText="1"/>
    </dxf>
    <dxf>
      <font>
        <color theme="4" tint="0.79998168889431442"/>
      </font>
    </dxf>
    <dxf>
      <alignment horizontal="center"/>
    </dxf>
    <dxf>
      <alignment horizont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border>
    </dxf>
    <dxf>
      <border>
        <left style="medium">
          <color indexed="64"/>
        </left>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right style="medium">
          <color indexed="64"/>
        </right>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bgColor theme="7" tint="0.79998168889431442"/>
        </patternFill>
      </fill>
    </dxf>
    <dxf>
      <fill>
        <patternFill>
          <bgColor theme="7" tint="0.79998168889431442"/>
        </patternFill>
      </fill>
    </dxf>
    <dxf>
      <border>
        <left/>
        <right/>
        <top/>
        <bottom/>
        <horizontal/>
      </border>
    </dxf>
    <dxf>
      <border>
        <left/>
        <right/>
        <top/>
        <bottom/>
        <horizontal/>
      </border>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patternType="solid">
          <bgColor theme="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top style="medium">
          <color indexed="64"/>
        </top>
      </border>
    </dxf>
    <dxf>
      <border>
        <left/>
        <right/>
        <top/>
        <bottom/>
        <vertical/>
      </border>
    </dxf>
    <dxf>
      <border>
        <left style="medium">
          <color indexed="64"/>
        </left>
        <top style="medium">
          <color indexed="64"/>
        </top>
        <bottom style="medium">
          <color indexed="64"/>
        </bottom>
      </border>
    </dxf>
    <dxf>
      <border>
        <left style="thin">
          <color indexed="64"/>
        </left>
        <top style="thin">
          <color indexed="64"/>
        </top>
        <bottom style="thin">
          <color indexed="64"/>
        </bottom>
        <horizontal style="thin">
          <color indexed="64"/>
        </horizontal>
      </border>
    </dxf>
    <dxf>
      <border>
        <left style="medium">
          <color indexed="64"/>
        </left>
        <bottom style="medium">
          <color indexed="64"/>
        </bottom>
      </border>
    </dxf>
    <dxf>
      <border>
        <left style="medium">
          <color indexed="64"/>
        </left>
        <bottom style="medium">
          <color indexed="64"/>
        </bottom>
      </border>
    </dxf>
    <dxf>
      <border>
        <right style="medium">
          <color indexed="64"/>
        </right>
        <top style="medium">
          <color indexed="64"/>
        </top>
      </border>
    </dxf>
    <dxf>
      <border>
        <right style="medium">
          <color indexed="64"/>
        </right>
        <top style="medium">
          <color indexed="64"/>
        </top>
      </border>
    </dxf>
    <dxf>
      <border>
        <left style="medium">
          <color indexed="64"/>
        </left>
        <right style="medium">
          <color indexed="64"/>
        </right>
        <top style="medium">
          <color indexed="64"/>
        </top>
        <bottom style="medium">
          <color indexed="64"/>
        </bottom>
      </border>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border>
        <left style="medium">
          <color indexed="64"/>
        </left>
        <right style="medium">
          <color indexed="64"/>
        </right>
        <top style="medium">
          <color indexed="64"/>
        </top>
      </border>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alignment wrapText="0"/>
    </dxf>
    <dxf>
      <alignment wrapText="0"/>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left style="medium">
          <color indexed="64"/>
        </left>
        <right style="medium">
          <color indexed="64"/>
        </right>
        <top style="medium">
          <color indexed="64"/>
        </top>
        <bottom style="medium">
          <color indexed="64"/>
        </bottom>
      </bord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font>
        <color theme="0"/>
      </font>
    </dxf>
    <dxf>
      <alignment wrapText="1"/>
    </dxf>
    <dxf>
      <alignment wrapText="1"/>
    </dxf>
    <dxf>
      <font>
        <color theme="0"/>
      </font>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wrapText="0"/>
    </dxf>
    <dxf>
      <alignment wrapText="0"/>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border>
        <left style="medium">
          <color indexed="64"/>
        </left>
        <right style="medium">
          <color indexed="64"/>
        </right>
        <top style="medium">
          <color indexed="64"/>
        </top>
      </border>
    </dxf>
    <dxf>
      <fill>
        <patternFill>
          <bgColor theme="0" tint="-0.14999847407452621"/>
        </patternFill>
      </fill>
    </dxf>
    <dxf>
      <fill>
        <patternFill>
          <bgColor theme="0" tint="-0.14999847407452621"/>
        </patternFill>
      </fill>
    </dxf>
    <dxf>
      <fill>
        <patternFill>
          <bgColor theme="0" tint="-0.14999847407452621"/>
        </patternFill>
      </fill>
    </dxf>
    <dxf>
      <fill>
        <patternFill>
          <bgColor theme="0" tint="-0.14999847407452621"/>
        </patternFill>
      </fill>
    </dxf>
    <dxf>
      <border>
        <left style="medium">
          <color indexed="64"/>
        </left>
        <right style="medium">
          <color indexed="64"/>
        </right>
        <top style="medium">
          <color indexed="64"/>
        </top>
        <bottom style="medium">
          <color indexed="64"/>
        </bottom>
      </border>
    </dxf>
    <dxf>
      <border>
        <right style="medium">
          <color indexed="64"/>
        </right>
        <top style="medium">
          <color indexed="64"/>
        </top>
      </border>
    </dxf>
    <dxf>
      <border>
        <right style="medium">
          <color indexed="64"/>
        </right>
        <top style="medium">
          <color indexed="64"/>
        </top>
      </border>
    </dxf>
    <dxf>
      <border>
        <left style="medium">
          <color indexed="64"/>
        </left>
        <bottom style="medium">
          <color indexed="64"/>
        </bottom>
      </border>
    </dxf>
    <dxf>
      <border>
        <left style="medium">
          <color indexed="64"/>
        </left>
        <bottom style="medium">
          <color indexed="64"/>
        </bottom>
      </border>
    </dxf>
    <dxf>
      <border>
        <left style="thin">
          <color indexed="64"/>
        </left>
        <top style="thin">
          <color indexed="64"/>
        </top>
        <bottom style="thin">
          <color indexed="64"/>
        </bottom>
        <horizontal style="thin">
          <color indexed="64"/>
        </horizontal>
      </border>
    </dxf>
    <dxf>
      <border>
        <left style="medium">
          <color indexed="64"/>
        </left>
        <top style="medium">
          <color indexed="64"/>
        </top>
        <bottom style="medium">
          <color indexed="64"/>
        </bottom>
      </border>
    </dxf>
    <dxf>
      <border>
        <left/>
        <right/>
        <top/>
        <bottom/>
        <vertical/>
      </border>
    </dxf>
    <dxf>
      <border>
        <left style="medium">
          <color indexed="64"/>
        </left>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border>
        <right style="medium">
          <color indexed="64"/>
        </right>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patternType="solid">
          <bgColor theme="0"/>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border>
        <left/>
        <right/>
        <top/>
        <bottom/>
        <horizontal/>
      </border>
    </dxf>
    <dxf>
      <border>
        <left/>
        <right/>
        <top/>
        <bottom/>
        <horizontal/>
      </border>
    </dxf>
    <dxf>
      <fill>
        <patternFill>
          <bgColor theme="7" tint="0.79998168889431442"/>
        </patternFill>
      </fill>
    </dxf>
    <dxf>
      <fill>
        <patternFill>
          <bgColor theme="7" tint="0.79998168889431442"/>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alignment wrapText="1"/>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vertical="center"/>
    </dxf>
    <dxf>
      <alignment vertical="center"/>
    </dxf>
    <dxf>
      <alignment vertical="center"/>
    </dxf>
    <dxf>
      <alignment vertical="center"/>
    </dxf>
    <dxf>
      <alignment vertical="center"/>
    </dxf>
    <dxf>
      <alignment vertical="center"/>
    </dxf>
    <dxf>
      <font>
        <color theme="4" tint="0.79998168889431442"/>
      </font>
    </dxf>
    <dxf>
      <alignment wrapText="1"/>
    </dxf>
    <dxf>
      <font>
        <color theme="4" tint="0.79998168889431442"/>
      </font>
    </dxf>
    <dxf>
      <alignment horizontal="center"/>
    </dxf>
    <dxf>
      <alignment horizont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border>
    </dxf>
    <dxf>
      <border>
        <left style="medium">
          <color indexed="64"/>
        </left>
      </border>
    </dxf>
    <dxf>
      <border>
        <left style="medium">
          <color indexed="64"/>
        </left>
        <right style="medium">
          <color indexed="64"/>
        </right>
        <top style="medium">
          <color indexed="64"/>
        </top>
        <bottom style="medium">
          <color indexed="64"/>
        </bottom>
      </border>
    </dxf>
    <dxf>
      <border>
        <right style="medium">
          <color indexed="64"/>
        </right>
      </border>
    </dxf>
    <dxf>
      <border>
        <right style="medium">
          <color indexed="64"/>
        </right>
      </border>
    </dxf>
    <dxf>
      <border>
        <right style="medium">
          <color indexed="64"/>
        </right>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patternFill>
      </fill>
    </dxf>
    <dxf>
      <fill>
        <patternFill patternType="solid">
          <bgColor theme="0"/>
        </patternFill>
      </fill>
    </dxf>
    <dxf>
      <fill>
        <patternFill patternType="solid">
          <bgColor theme="0"/>
        </patternFill>
      </fill>
    </dxf>
    <dxf>
      <fill>
        <patternFill>
          <bgColor theme="0"/>
        </patternFill>
      </fill>
    </dxf>
    <dxf>
      <border>
        <top style="medium">
          <color indexed="64"/>
        </top>
      </border>
    </dxf>
    <dxf>
      <border>
        <left style="medium">
          <color indexed="64"/>
        </left>
        <right style="medium">
          <color indexed="64"/>
        </right>
      </border>
    </dxf>
    <dxf>
      <alignment horizontal="center"/>
    </dxf>
    <dxf>
      <border>
        <left style="medium">
          <color indexed="64"/>
        </left>
      </border>
    </dxf>
    <dxf>
      <border>
        <bottom style="medium">
          <color indexed="64"/>
        </bottom>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right style="medium">
          <color indexed="64"/>
        </right>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bgColor theme="0" tint="-0.14999847407452621"/>
        </patternFill>
      </fill>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bgColor theme="9" tint="0.59996337778862885"/>
        </patternFill>
      </fill>
    </dxf>
    <dxf>
      <fill>
        <patternFill>
          <bgColor rgb="FFFFC7CE"/>
        </patternFill>
      </fill>
    </dxf>
    <dxf>
      <fill>
        <patternFill>
          <bgColor theme="9" tint="0.59996337778862885"/>
        </patternFill>
      </fill>
    </dxf>
    <dxf>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9" tint="0.59996337778862885"/>
        </patternFill>
      </fill>
    </dxf>
    <dxf>
      <fill>
        <patternFill>
          <bgColor rgb="FFFFC7CE"/>
        </patternFill>
      </fill>
    </dxf>
    <dxf>
      <fill>
        <patternFill>
          <bgColor theme="9" tint="0.59996337778862885"/>
        </patternFill>
      </fill>
    </dxf>
    <dxf>
      <alignment wrapText="1"/>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border>
    </dxf>
    <dxf>
      <border>
        <left style="medium">
          <color indexed="64"/>
        </left>
      </border>
    </dxf>
    <dxf>
      <border>
        <left style="medium">
          <color indexed="64"/>
        </left>
      </border>
    </dxf>
    <dxf>
      <border>
        <left style="medium">
          <color indexed="64"/>
        </left>
      </border>
    </dxf>
    <dxf>
      <border>
        <top style="medium">
          <color indexed="64"/>
        </top>
        <bottom style="medium">
          <color indexed="64"/>
        </bottom>
      </border>
    </dxf>
    <dxf>
      <border>
        <top style="medium">
          <color indexed="64"/>
        </top>
        <bottom style="medium">
          <color indexed="64"/>
        </bottom>
      </border>
    </dxf>
    <dxf>
      <border>
        <bottom style="medium">
          <color indexed="64"/>
        </bottom>
      </border>
    </dxf>
    <dxf>
      <border>
        <bottom style="medium">
          <color indexed="64"/>
        </bottom>
      </border>
    </dxf>
    <dxf>
      <numFmt numFmtId="165" formatCode="_-&quot;$&quot;\ * #,##0_-;\-&quot;$&quot;\ * #,##0_-;_-&quot;$&quot;\ * &quot;-&quot;??_-;_-@_-"/>
    </dxf>
    <dxf>
      <border>
        <top style="medium">
          <color indexed="64"/>
        </top>
      </border>
    </dxf>
    <dxf>
      <border>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right style="medium">
          <color indexed="64"/>
        </right>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top style="medium">
          <color indexed="64"/>
        </top>
      </border>
    </dxf>
    <dxf>
      <border>
        <left style="medium">
          <color indexed="64"/>
        </left>
        <right style="medium">
          <color indexed="64"/>
        </right>
      </border>
    </dxf>
    <dxf>
      <border>
        <bottom style="medium">
          <color indexed="64"/>
        </bottom>
      </border>
    </dxf>
    <dxf>
      <border>
        <bottom style="medium">
          <color indexed="64"/>
        </bottom>
      </border>
    </dxf>
    <dxf>
      <border>
        <bottom style="medium">
          <color indexed="64"/>
        </bottom>
      </border>
    </dxf>
    <dxf>
      <border>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ont>
        <color theme="4" tint="0.79998168889431442"/>
      </font>
    </dxf>
    <dxf>
      <alignment horizontal="center"/>
    </dxf>
    <dxf>
      <font>
        <color theme="4" tint="0.79998168889431442"/>
      </font>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alignment horizontal="left"/>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left style="thin">
          <color indexed="64"/>
        </left>
        <right style="thin">
          <color indexed="64"/>
        </right>
        <top style="thin">
          <color indexed="64"/>
        </top>
        <vertical style="thin">
          <color indexed="64"/>
        </vertical>
        <horizontal style="thin">
          <color indexed="64"/>
        </horizontal>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right style="medium">
          <color indexed="64"/>
        </right>
        <bottom style="medium">
          <color indexed="64"/>
        </bottom>
      </border>
    </dxf>
    <dxf>
      <border>
        <left style="medium">
          <color indexed="64"/>
        </left>
        <right style="medium">
          <color indexed="64"/>
        </right>
      </border>
    </dxf>
    <dxf>
      <border>
        <left style="medium">
          <color indexed="64"/>
        </left>
        <right style="medium">
          <color indexed="64"/>
        </right>
      </border>
    </dxf>
    <dxf>
      <border>
        <left style="medium">
          <color indexed="64"/>
        </left>
        <right style="medium">
          <color indexed="64"/>
        </right>
      </border>
    </dxf>
    <dxf>
      <border>
        <top style="medium">
          <color indexed="64"/>
        </top>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rder>
    </dxf>
    <dxf>
      <fill>
        <patternFill patternType="solid">
          <bgColor theme="0" tint="-0.14999847407452621"/>
        </patternFill>
      </fill>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bottom style="medium">
          <color indexed="64"/>
        </bottom>
      </border>
    </dxf>
    <dxf>
      <border>
        <right style="medium">
          <color indexed="64"/>
        </right>
      </border>
    </dxf>
    <dxf>
      <border>
        <left style="medium">
          <color indexed="64"/>
        </left>
        <right style="medium">
          <color indexed="64"/>
        </right>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fill>
        <patternFill patternType="solid">
          <bgColor theme="0" tint="-0.14999847407452621"/>
        </patternFill>
      </fill>
    </dxf>
    <dxf>
      <fill>
        <patternFill patternType="solid">
          <bgColor theme="0" tint="-0.14999847407452621"/>
        </patternFill>
      </fill>
    </dxf>
    <dxf>
      <fill>
        <patternFill patternType="solid">
          <bgColor theme="0" tint="-0.14999847407452621"/>
        </patternFill>
      </fill>
    </dxf>
    <dxf>
      <alignment wrapText="1"/>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medium">
          <color indexed="64"/>
        </left>
        <right style="medium">
          <color indexed="64"/>
        </right>
        <top style="medium">
          <color indexed="64"/>
        </top>
        <bottom style="medium">
          <color indexed="64"/>
        </bottom>
      </border>
    </dxf>
    <dxf>
      <border>
        <left style="medium">
          <color indexed="64"/>
        </left>
        <right style="medium">
          <color indexed="64"/>
        </right>
        <top style="medium">
          <color indexed="64"/>
        </top>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left style="medium">
          <color indexed="64"/>
        </left>
        <right style="medium">
          <color indexed="64"/>
        </right>
        <bottom style="medium">
          <color indexed="64"/>
        </bottom>
      </border>
    </dxf>
    <dxf>
      <border>
        <top style="medium">
          <color indexed="64"/>
        </top>
      </border>
    </dxf>
    <dxf>
      <border>
        <top style="medium">
          <color indexed="64"/>
        </top>
      </border>
    </dxf>
    <dxf>
      <font>
        <color theme="4" tint="0.79998168889431442"/>
      </font>
    </dxf>
    <dxf>
      <font>
        <b val="0"/>
      </font>
    </dxf>
    <dxf>
      <font>
        <b val="0"/>
      </font>
    </dxf>
    <dxf>
      <font>
        <b val="0"/>
      </font>
    </dxf>
    <dxf>
      <font>
        <b val="0"/>
      </font>
    </dxf>
  </dxfs>
  <tableStyles count="0" defaultTableStyle="TableStyleMedium2" defaultPivotStyle="PivotStyleLight16"/>
  <colors>
    <mruColors>
      <color rgb="FFFF99CC"/>
      <color rgb="FFFF7C80"/>
      <color rgb="FFBFBF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onnections" Target="connection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[PAA - 2025 VERSIÓN 10.xlsx]GENERAL!TablaDinámica4</c:name>
    <c:fmtId val="1"/>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GENERAL!$C$3</c:f>
              <c:strCache>
                <c:ptCount val="1"/>
                <c:pt idx="0">
                  <c:v>Cuenta de RADICADO</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GENERAL!$B$4:$B$8</c:f>
              <c:multiLvlStrCache>
                <c:ptCount val="3"/>
                <c:lvl>
                  <c:pt idx="1">
                    <c:v>NO</c:v>
                  </c:pt>
                  <c:pt idx="2">
                    <c:v>SI</c:v>
                  </c:pt>
                </c:lvl>
                <c:lvl>
                  <c:pt idx="0">
                    <c:v>NO</c:v>
                  </c:pt>
                  <c:pt idx="1">
                    <c:v>SI</c:v>
                  </c:pt>
                </c:lvl>
              </c:multiLvlStrCache>
            </c:multiLvlStrRef>
          </c:cat>
          <c:val>
            <c:numRef>
              <c:f>GENERAL!$C$4:$C$8</c:f>
              <c:numCache>
                <c:formatCode>General</c:formatCode>
                <c:ptCount val="3"/>
                <c:pt idx="0">
                  <c:v>75</c:v>
                </c:pt>
                <c:pt idx="1">
                  <c:v>36</c:v>
                </c:pt>
                <c:pt idx="2">
                  <c:v>28</c:v>
                </c:pt>
              </c:numCache>
            </c:numRef>
          </c:val>
          <c:extLst>
            <c:ext xmlns:c16="http://schemas.microsoft.com/office/drawing/2014/chart" uri="{C3380CC4-5D6E-409C-BE32-E72D297353CC}">
              <c16:uniqueId val="{00000000-C587-4A2F-B345-1E124E91E87F}"/>
            </c:ext>
          </c:extLst>
        </c:ser>
        <c:ser>
          <c:idx val="1"/>
          <c:order val="1"/>
          <c:tx>
            <c:strRef>
              <c:f>GENERAL!$D$3</c:f>
              <c:strCache>
                <c:ptCount val="1"/>
                <c:pt idx="0">
                  <c:v>Cuenta de CONTRATO </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GENERAL!$B$4:$B$8</c:f>
              <c:multiLvlStrCache>
                <c:ptCount val="3"/>
                <c:lvl>
                  <c:pt idx="1">
                    <c:v>NO</c:v>
                  </c:pt>
                  <c:pt idx="2">
                    <c:v>SI</c:v>
                  </c:pt>
                </c:lvl>
                <c:lvl>
                  <c:pt idx="0">
                    <c:v>NO</c:v>
                  </c:pt>
                  <c:pt idx="1">
                    <c:v>SI</c:v>
                  </c:pt>
                </c:lvl>
              </c:multiLvlStrCache>
            </c:multiLvlStrRef>
          </c:cat>
          <c:val>
            <c:numRef>
              <c:f>GENERAL!$D$4:$D$8</c:f>
              <c:numCache>
                <c:formatCode>General</c:formatCode>
                <c:ptCount val="3"/>
                <c:pt idx="1">
                  <c:v>9</c:v>
                </c:pt>
                <c:pt idx="2">
                  <c:v>27</c:v>
                </c:pt>
              </c:numCache>
            </c:numRef>
          </c:val>
          <c:extLst>
            <c:ext xmlns:c16="http://schemas.microsoft.com/office/drawing/2014/chart" uri="{C3380CC4-5D6E-409C-BE32-E72D297353CC}">
              <c16:uniqueId val="{00000001-C587-4A2F-B345-1E124E91E87F}"/>
            </c:ext>
          </c:extLst>
        </c:ser>
        <c:dLbls>
          <c:showLegendKey val="0"/>
          <c:showVal val="0"/>
          <c:showCatName val="0"/>
          <c:showSerName val="0"/>
          <c:showPercent val="0"/>
          <c:showBubbleSize val="0"/>
        </c:dLbls>
        <c:gapWidth val="219"/>
        <c:overlap val="-27"/>
        <c:axId val="377272991"/>
        <c:axId val="377275391"/>
      </c:barChart>
      <c:catAx>
        <c:axId val="37727299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77275391"/>
        <c:crosses val="autoZero"/>
        <c:auto val="1"/>
        <c:lblAlgn val="ctr"/>
        <c:lblOffset val="100"/>
        <c:noMultiLvlLbl val="0"/>
      </c:catAx>
      <c:valAx>
        <c:axId val="37727539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77272991"/>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[PAA - 2025 VERSIÓN 10.xlsx]DEPENDENCIAS!TablaDinámica5</c:name>
    <c:fmtId val="1"/>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2"/>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
        <c:idx val="7"/>
        <c:spPr>
          <a:solidFill>
            <a:schemeClr val="accent2"/>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DEPENDENCIAS!$C$2:$C$4</c:f>
              <c:strCache>
                <c:ptCount val="1"/>
                <c:pt idx="0">
                  <c:v>NO</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DEPENDENCIAS!$B$5:$B$31</c:f>
              <c:strCache>
                <c:ptCount val="26"/>
                <c:pt idx="0">
                  <c:v>DESPACHO PRESIDENCIA</c:v>
                </c:pt>
                <c:pt idx="1">
                  <c:v>DIRECCCIÓN DE GOBIERNO, CONTROL Y DEMOCRATIZACIÓN DE SOCIEDADES</c:v>
                </c:pt>
                <c:pt idx="2">
                  <c:v>DIRECCCIÓN PARA LA DEMOCRATIZACIÓN DE ACTIVOS INMUEBLES RURALES</c:v>
                </c:pt>
                <c:pt idx="3">
                  <c:v>DIRECCCIÓN PARA LA DEMOCRATIZACIÓN DE ACTIVOS INMUEBLES URBANOS</c:v>
                </c:pt>
                <c:pt idx="4">
                  <c:v>DIRECCION ADMINISTRATIVA</c:v>
                </c:pt>
                <c:pt idx="5">
                  <c:v>DIRECCIÓN COMERCIAL</c:v>
                </c:pt>
                <c:pt idx="6">
                  <c:v>DIRECCIÓN DE ANALÍTICA, ALISTAMIENTO Y VALORACIÓN</c:v>
                </c:pt>
                <c:pt idx="7">
                  <c:v>DIRECCIÓN DE ASUNTOS LEGALES MISIONALES</c:v>
                </c:pt>
                <c:pt idx="8">
                  <c:v>DIRECCIÓN DE CONTRATACIÓN</c:v>
                </c:pt>
                <c:pt idx="9">
                  <c:v>DIRECCION DE CONTROL DEL INVENTARIO</c:v>
                </c:pt>
                <c:pt idx="10">
                  <c:v>DIRECCIÓN DE PLANEACIÓN Y PROSPECTIVA</c:v>
                </c:pt>
                <c:pt idx="11">
                  <c:v>DIRECCIÓN DE PROYECTOS</c:v>
                </c:pt>
                <c:pt idx="12">
                  <c:v>DIRECCIÓN DE TALENTO HUMANO</c:v>
                </c:pt>
                <c:pt idx="13">
                  <c:v>DIRECCIÓN FINANCIERA</c:v>
                </c:pt>
                <c:pt idx="14">
                  <c:v>DIRECCION PARA LA DEMOCRATIZACION DE ACTIVOS MUEBLES </c:v>
                </c:pt>
                <c:pt idx="15">
                  <c:v>GERENCIA DE AUDITORIA A SOCIEDADES</c:v>
                </c:pt>
                <c:pt idx="16">
                  <c:v>GERENCIA DE DEPOSITARIOS, MANDATARIOS Y LIQUIDADORES</c:v>
                </c:pt>
                <c:pt idx="17">
                  <c:v>OFICINA DE INTEGRIDAD, ANTICORRUPCIÓN Y CUMPLIMIENTO</c:v>
                </c:pt>
                <c:pt idx="18">
                  <c:v>OFICINA DE PRENSA Y COMUNICACIONES</c:v>
                </c:pt>
                <c:pt idx="19">
                  <c:v>OFICINA DE TECNOLOGÍAS Y SISTEMAS DE LA INFORMACIÓN</c:v>
                </c:pt>
                <c:pt idx="20">
                  <c:v>OFICINA JURÍDICA</c:v>
                </c:pt>
                <c:pt idx="21">
                  <c:v>VICEPRESIDENCIA CORPORATIVA</c:v>
                </c:pt>
                <c:pt idx="22">
                  <c:v>VICEPRESIDENCIA DE ACTIVOS MUEBLES E INMUEBLES</c:v>
                </c:pt>
                <c:pt idx="23">
                  <c:v>VICEPRESIDENCIA DE SOCIEDADES</c:v>
                </c:pt>
                <c:pt idx="24">
                  <c:v>VICEPRESIDENCIA OPERATIVA</c:v>
                </c:pt>
                <c:pt idx="25">
                  <c:v>VICEPRESIDENCIA OPERATIVA / DIRECCIONES TERRITORIALES / DIRECCIÓN DE CONTROL DE INVENTARIO</c:v>
                </c:pt>
              </c:strCache>
            </c:strRef>
          </c:cat>
          <c:val>
            <c:numRef>
              <c:f>DEPENDENCIAS!$C$5:$C$31</c:f>
              <c:numCache>
                <c:formatCode>General</c:formatCode>
                <c:ptCount val="26"/>
                <c:pt idx="1">
                  <c:v>2</c:v>
                </c:pt>
                <c:pt idx="3">
                  <c:v>1</c:v>
                </c:pt>
                <c:pt idx="4">
                  <c:v>2</c:v>
                </c:pt>
                <c:pt idx="6">
                  <c:v>3</c:v>
                </c:pt>
                <c:pt idx="7">
                  <c:v>10</c:v>
                </c:pt>
                <c:pt idx="8">
                  <c:v>2</c:v>
                </c:pt>
                <c:pt idx="9">
                  <c:v>1</c:v>
                </c:pt>
                <c:pt idx="10">
                  <c:v>3</c:v>
                </c:pt>
                <c:pt idx="11">
                  <c:v>4</c:v>
                </c:pt>
                <c:pt idx="12">
                  <c:v>8</c:v>
                </c:pt>
                <c:pt idx="13">
                  <c:v>3</c:v>
                </c:pt>
                <c:pt idx="14">
                  <c:v>3</c:v>
                </c:pt>
                <c:pt idx="15">
                  <c:v>3</c:v>
                </c:pt>
                <c:pt idx="16">
                  <c:v>7</c:v>
                </c:pt>
                <c:pt idx="17">
                  <c:v>5</c:v>
                </c:pt>
                <c:pt idx="18">
                  <c:v>4</c:v>
                </c:pt>
                <c:pt idx="19">
                  <c:v>9</c:v>
                </c:pt>
                <c:pt idx="20">
                  <c:v>1</c:v>
                </c:pt>
                <c:pt idx="21">
                  <c:v>1</c:v>
                </c:pt>
                <c:pt idx="22">
                  <c:v>2</c:v>
                </c:pt>
                <c:pt idx="25">
                  <c:v>1</c:v>
                </c:pt>
              </c:numCache>
            </c:numRef>
          </c:val>
          <c:extLst>
            <c:ext xmlns:c16="http://schemas.microsoft.com/office/drawing/2014/chart" uri="{C3380CC4-5D6E-409C-BE32-E72D297353CC}">
              <c16:uniqueId val="{00000000-99E7-48C4-9E1C-344DF6B3E007}"/>
            </c:ext>
          </c:extLst>
        </c:ser>
        <c:ser>
          <c:idx val="1"/>
          <c:order val="1"/>
          <c:tx>
            <c:strRef>
              <c:f>DEPENDENCIAS!$D$2:$D$4</c:f>
              <c:strCache>
                <c:ptCount val="1"/>
                <c:pt idx="0">
                  <c:v>SI - NO</c:v>
                </c:pt>
              </c:strCache>
            </c:strRef>
          </c:tx>
          <c:spPr>
            <a:solidFill>
              <a:schemeClr val="accent2"/>
            </a:solidFill>
            <a:ln>
              <a:noFill/>
            </a:ln>
            <a:effectLst/>
          </c:spPr>
          <c:invertIfNegative val="0"/>
          <c:dLbls>
            <c:dLbl>
              <c:idx val="2"/>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9E7-48C4-9E1C-344DF6B3E007}"/>
                </c:ext>
              </c:extLst>
            </c:dLbl>
            <c:dLbl>
              <c:idx val="4"/>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9E7-48C4-9E1C-344DF6B3E00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DEPENDENCIAS!$B$5:$B$31</c:f>
              <c:strCache>
                <c:ptCount val="26"/>
                <c:pt idx="0">
                  <c:v>DESPACHO PRESIDENCIA</c:v>
                </c:pt>
                <c:pt idx="1">
                  <c:v>DIRECCCIÓN DE GOBIERNO, CONTROL Y DEMOCRATIZACIÓN DE SOCIEDADES</c:v>
                </c:pt>
                <c:pt idx="2">
                  <c:v>DIRECCCIÓN PARA LA DEMOCRATIZACIÓN DE ACTIVOS INMUEBLES RURALES</c:v>
                </c:pt>
                <c:pt idx="3">
                  <c:v>DIRECCCIÓN PARA LA DEMOCRATIZACIÓN DE ACTIVOS INMUEBLES URBANOS</c:v>
                </c:pt>
                <c:pt idx="4">
                  <c:v>DIRECCION ADMINISTRATIVA</c:v>
                </c:pt>
                <c:pt idx="5">
                  <c:v>DIRECCIÓN COMERCIAL</c:v>
                </c:pt>
                <c:pt idx="6">
                  <c:v>DIRECCIÓN DE ANALÍTICA, ALISTAMIENTO Y VALORACIÓN</c:v>
                </c:pt>
                <c:pt idx="7">
                  <c:v>DIRECCIÓN DE ASUNTOS LEGALES MISIONALES</c:v>
                </c:pt>
                <c:pt idx="8">
                  <c:v>DIRECCIÓN DE CONTRATACIÓN</c:v>
                </c:pt>
                <c:pt idx="9">
                  <c:v>DIRECCION DE CONTROL DEL INVENTARIO</c:v>
                </c:pt>
                <c:pt idx="10">
                  <c:v>DIRECCIÓN DE PLANEACIÓN Y PROSPECTIVA</c:v>
                </c:pt>
                <c:pt idx="11">
                  <c:v>DIRECCIÓN DE PROYECTOS</c:v>
                </c:pt>
                <c:pt idx="12">
                  <c:v>DIRECCIÓN DE TALENTO HUMANO</c:v>
                </c:pt>
                <c:pt idx="13">
                  <c:v>DIRECCIÓN FINANCIERA</c:v>
                </c:pt>
                <c:pt idx="14">
                  <c:v>DIRECCION PARA LA DEMOCRATIZACION DE ACTIVOS MUEBLES </c:v>
                </c:pt>
                <c:pt idx="15">
                  <c:v>GERENCIA DE AUDITORIA A SOCIEDADES</c:v>
                </c:pt>
                <c:pt idx="16">
                  <c:v>GERENCIA DE DEPOSITARIOS, MANDATARIOS Y LIQUIDADORES</c:v>
                </c:pt>
                <c:pt idx="17">
                  <c:v>OFICINA DE INTEGRIDAD, ANTICORRUPCIÓN Y CUMPLIMIENTO</c:v>
                </c:pt>
                <c:pt idx="18">
                  <c:v>OFICINA DE PRENSA Y COMUNICACIONES</c:v>
                </c:pt>
                <c:pt idx="19">
                  <c:v>OFICINA DE TECNOLOGÍAS Y SISTEMAS DE LA INFORMACIÓN</c:v>
                </c:pt>
                <c:pt idx="20">
                  <c:v>OFICINA JURÍDICA</c:v>
                </c:pt>
                <c:pt idx="21">
                  <c:v>VICEPRESIDENCIA CORPORATIVA</c:v>
                </c:pt>
                <c:pt idx="22">
                  <c:v>VICEPRESIDENCIA DE ACTIVOS MUEBLES E INMUEBLES</c:v>
                </c:pt>
                <c:pt idx="23">
                  <c:v>VICEPRESIDENCIA DE SOCIEDADES</c:v>
                </c:pt>
                <c:pt idx="24">
                  <c:v>VICEPRESIDENCIA OPERATIVA</c:v>
                </c:pt>
                <c:pt idx="25">
                  <c:v>VICEPRESIDENCIA OPERATIVA / DIRECCIONES TERRITORIALES / DIRECCIÓN DE CONTROL DE INVENTARIO</c:v>
                </c:pt>
              </c:strCache>
            </c:strRef>
          </c:cat>
          <c:val>
            <c:numRef>
              <c:f>DEPENDENCIAS!$D$5:$D$31</c:f>
              <c:numCache>
                <c:formatCode>General</c:formatCode>
                <c:ptCount val="26"/>
                <c:pt idx="0">
                  <c:v>2</c:v>
                </c:pt>
                <c:pt idx="2">
                  <c:v>9</c:v>
                </c:pt>
                <c:pt idx="3">
                  <c:v>2</c:v>
                </c:pt>
                <c:pt idx="4">
                  <c:v>5</c:v>
                </c:pt>
                <c:pt idx="5">
                  <c:v>2</c:v>
                </c:pt>
                <c:pt idx="8">
                  <c:v>1</c:v>
                </c:pt>
                <c:pt idx="11">
                  <c:v>2</c:v>
                </c:pt>
                <c:pt idx="12">
                  <c:v>2</c:v>
                </c:pt>
                <c:pt idx="13">
                  <c:v>1</c:v>
                </c:pt>
                <c:pt idx="19">
                  <c:v>6</c:v>
                </c:pt>
                <c:pt idx="22">
                  <c:v>3</c:v>
                </c:pt>
                <c:pt idx="23">
                  <c:v>1</c:v>
                </c:pt>
              </c:numCache>
            </c:numRef>
          </c:val>
          <c:extLst>
            <c:ext xmlns:c16="http://schemas.microsoft.com/office/drawing/2014/chart" uri="{C3380CC4-5D6E-409C-BE32-E72D297353CC}">
              <c16:uniqueId val="{00000007-99E7-48C4-9E1C-344DF6B3E007}"/>
            </c:ext>
          </c:extLst>
        </c:ser>
        <c:ser>
          <c:idx val="2"/>
          <c:order val="2"/>
          <c:tx>
            <c:strRef>
              <c:f>DEPENDENCIAS!$E$2:$E$4</c:f>
              <c:strCache>
                <c:ptCount val="1"/>
                <c:pt idx="0">
                  <c:v>SI - SI</c:v>
                </c:pt>
              </c:strCache>
            </c:strRef>
          </c:tx>
          <c:spPr>
            <a:solidFill>
              <a:schemeClr val="accent3"/>
            </a:solidFill>
            <a:ln>
              <a:noFill/>
            </a:ln>
            <a:effectLst/>
          </c:spPr>
          <c:invertIfNegative val="0"/>
          <c:cat>
            <c:strRef>
              <c:f>DEPENDENCIAS!$B$5:$B$31</c:f>
              <c:strCache>
                <c:ptCount val="26"/>
                <c:pt idx="0">
                  <c:v>DESPACHO PRESIDENCIA</c:v>
                </c:pt>
                <c:pt idx="1">
                  <c:v>DIRECCCIÓN DE GOBIERNO, CONTROL Y DEMOCRATIZACIÓN DE SOCIEDADES</c:v>
                </c:pt>
                <c:pt idx="2">
                  <c:v>DIRECCCIÓN PARA LA DEMOCRATIZACIÓN DE ACTIVOS INMUEBLES RURALES</c:v>
                </c:pt>
                <c:pt idx="3">
                  <c:v>DIRECCCIÓN PARA LA DEMOCRATIZACIÓN DE ACTIVOS INMUEBLES URBANOS</c:v>
                </c:pt>
                <c:pt idx="4">
                  <c:v>DIRECCION ADMINISTRATIVA</c:v>
                </c:pt>
                <c:pt idx="5">
                  <c:v>DIRECCIÓN COMERCIAL</c:v>
                </c:pt>
                <c:pt idx="6">
                  <c:v>DIRECCIÓN DE ANALÍTICA, ALISTAMIENTO Y VALORACIÓN</c:v>
                </c:pt>
                <c:pt idx="7">
                  <c:v>DIRECCIÓN DE ASUNTOS LEGALES MISIONALES</c:v>
                </c:pt>
                <c:pt idx="8">
                  <c:v>DIRECCIÓN DE CONTRATACIÓN</c:v>
                </c:pt>
                <c:pt idx="9">
                  <c:v>DIRECCION DE CONTROL DEL INVENTARIO</c:v>
                </c:pt>
                <c:pt idx="10">
                  <c:v>DIRECCIÓN DE PLANEACIÓN Y PROSPECTIVA</c:v>
                </c:pt>
                <c:pt idx="11">
                  <c:v>DIRECCIÓN DE PROYECTOS</c:v>
                </c:pt>
                <c:pt idx="12">
                  <c:v>DIRECCIÓN DE TALENTO HUMANO</c:v>
                </c:pt>
                <c:pt idx="13">
                  <c:v>DIRECCIÓN FINANCIERA</c:v>
                </c:pt>
                <c:pt idx="14">
                  <c:v>DIRECCION PARA LA DEMOCRATIZACION DE ACTIVOS MUEBLES </c:v>
                </c:pt>
                <c:pt idx="15">
                  <c:v>GERENCIA DE AUDITORIA A SOCIEDADES</c:v>
                </c:pt>
                <c:pt idx="16">
                  <c:v>GERENCIA DE DEPOSITARIOS, MANDATARIOS Y LIQUIDADORES</c:v>
                </c:pt>
                <c:pt idx="17">
                  <c:v>OFICINA DE INTEGRIDAD, ANTICORRUPCIÓN Y CUMPLIMIENTO</c:v>
                </c:pt>
                <c:pt idx="18">
                  <c:v>OFICINA DE PRENSA Y COMUNICACIONES</c:v>
                </c:pt>
                <c:pt idx="19">
                  <c:v>OFICINA DE TECNOLOGÍAS Y SISTEMAS DE LA INFORMACIÓN</c:v>
                </c:pt>
                <c:pt idx="20">
                  <c:v>OFICINA JURÍDICA</c:v>
                </c:pt>
                <c:pt idx="21">
                  <c:v>VICEPRESIDENCIA CORPORATIVA</c:v>
                </c:pt>
                <c:pt idx="22">
                  <c:v>VICEPRESIDENCIA DE ACTIVOS MUEBLES E INMUEBLES</c:v>
                </c:pt>
                <c:pt idx="23">
                  <c:v>VICEPRESIDENCIA DE SOCIEDADES</c:v>
                </c:pt>
                <c:pt idx="24">
                  <c:v>VICEPRESIDENCIA OPERATIVA</c:v>
                </c:pt>
                <c:pt idx="25">
                  <c:v>VICEPRESIDENCIA OPERATIVA / DIRECCIONES TERRITORIALES / DIRECCIÓN DE CONTROL DE INVENTARIO</c:v>
                </c:pt>
              </c:strCache>
            </c:strRef>
          </c:cat>
          <c:val>
            <c:numRef>
              <c:f>DEPENDENCIAS!$E$5:$E$31</c:f>
              <c:numCache>
                <c:formatCode>General</c:formatCode>
                <c:ptCount val="26"/>
                <c:pt idx="0">
                  <c:v>8</c:v>
                </c:pt>
                <c:pt idx="3">
                  <c:v>3</c:v>
                </c:pt>
                <c:pt idx="5">
                  <c:v>1</c:v>
                </c:pt>
                <c:pt idx="7">
                  <c:v>1</c:v>
                </c:pt>
                <c:pt idx="8">
                  <c:v>4</c:v>
                </c:pt>
                <c:pt idx="12">
                  <c:v>4</c:v>
                </c:pt>
                <c:pt idx="17">
                  <c:v>2</c:v>
                </c:pt>
                <c:pt idx="21">
                  <c:v>4</c:v>
                </c:pt>
                <c:pt idx="24">
                  <c:v>1</c:v>
                </c:pt>
              </c:numCache>
            </c:numRef>
          </c:val>
          <c:extLst>
            <c:ext xmlns:c16="http://schemas.microsoft.com/office/drawing/2014/chart" uri="{C3380CC4-5D6E-409C-BE32-E72D297353CC}">
              <c16:uniqueId val="{00000008-99E7-48C4-9E1C-344DF6B3E007}"/>
            </c:ext>
          </c:extLst>
        </c:ser>
        <c:dLbls>
          <c:showLegendKey val="0"/>
          <c:showVal val="0"/>
          <c:showCatName val="0"/>
          <c:showSerName val="0"/>
          <c:showPercent val="0"/>
          <c:showBubbleSize val="0"/>
        </c:dLbls>
        <c:gapWidth val="219"/>
        <c:overlap val="-27"/>
        <c:axId val="957235871"/>
        <c:axId val="1502650047"/>
      </c:barChart>
      <c:catAx>
        <c:axId val="9572358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502650047"/>
        <c:crosses val="autoZero"/>
        <c:auto val="1"/>
        <c:lblAlgn val="ctr"/>
        <c:lblOffset val="100"/>
        <c:noMultiLvlLbl val="0"/>
      </c:catAx>
      <c:valAx>
        <c:axId val="150265004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57235871"/>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[PAA - 2025 VERSIÓN 10.xlsx]MES!TablaDinámica6</c:name>
    <c:fmtId val="2"/>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MES!$C$2:$C$4</c:f>
              <c:strCache>
                <c:ptCount val="1"/>
                <c:pt idx="0">
                  <c:v>NO</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MES!$B$5:$B$13</c:f>
              <c:strCache>
                <c:ptCount val="8"/>
                <c:pt idx="0">
                  <c:v>ENERO</c:v>
                </c:pt>
                <c:pt idx="1">
                  <c:v>FEBRERO</c:v>
                </c:pt>
                <c:pt idx="2">
                  <c:v>MARZO</c:v>
                </c:pt>
                <c:pt idx="3">
                  <c:v>ABRIL</c:v>
                </c:pt>
                <c:pt idx="4">
                  <c:v>MAYO</c:v>
                </c:pt>
                <c:pt idx="5">
                  <c:v>JUNIO</c:v>
                </c:pt>
                <c:pt idx="6">
                  <c:v>JULIO</c:v>
                </c:pt>
                <c:pt idx="7">
                  <c:v>SEPTIEMBRE</c:v>
                </c:pt>
              </c:strCache>
            </c:strRef>
          </c:cat>
          <c:val>
            <c:numRef>
              <c:f>MES!$C$5:$C$13</c:f>
              <c:numCache>
                <c:formatCode>General</c:formatCode>
                <c:ptCount val="8"/>
                <c:pt idx="1">
                  <c:v>27</c:v>
                </c:pt>
                <c:pt idx="2">
                  <c:v>20</c:v>
                </c:pt>
                <c:pt idx="3">
                  <c:v>6</c:v>
                </c:pt>
                <c:pt idx="4">
                  <c:v>13</c:v>
                </c:pt>
                <c:pt idx="5">
                  <c:v>3</c:v>
                </c:pt>
                <c:pt idx="6">
                  <c:v>5</c:v>
                </c:pt>
                <c:pt idx="7">
                  <c:v>1</c:v>
                </c:pt>
              </c:numCache>
            </c:numRef>
          </c:val>
          <c:extLst>
            <c:ext xmlns:c16="http://schemas.microsoft.com/office/drawing/2014/chart" uri="{C3380CC4-5D6E-409C-BE32-E72D297353CC}">
              <c16:uniqueId val="{00000000-DE1D-409D-BA71-AAB3B2A6FF7D}"/>
            </c:ext>
          </c:extLst>
        </c:ser>
        <c:ser>
          <c:idx val="1"/>
          <c:order val="1"/>
          <c:tx>
            <c:strRef>
              <c:f>MES!$D$2:$D$4</c:f>
              <c:strCache>
                <c:ptCount val="1"/>
                <c:pt idx="0">
                  <c:v>SI - NO</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MES!$B$5:$B$13</c:f>
              <c:strCache>
                <c:ptCount val="8"/>
                <c:pt idx="0">
                  <c:v>ENERO</c:v>
                </c:pt>
                <c:pt idx="1">
                  <c:v>FEBRERO</c:v>
                </c:pt>
                <c:pt idx="2">
                  <c:v>MARZO</c:v>
                </c:pt>
                <c:pt idx="3">
                  <c:v>ABRIL</c:v>
                </c:pt>
                <c:pt idx="4">
                  <c:v>MAYO</c:v>
                </c:pt>
                <c:pt idx="5">
                  <c:v>JUNIO</c:v>
                </c:pt>
                <c:pt idx="6">
                  <c:v>JULIO</c:v>
                </c:pt>
                <c:pt idx="7">
                  <c:v>SEPTIEMBRE</c:v>
                </c:pt>
              </c:strCache>
            </c:strRef>
          </c:cat>
          <c:val>
            <c:numRef>
              <c:f>MES!$D$5:$D$13</c:f>
              <c:numCache>
                <c:formatCode>General</c:formatCode>
                <c:ptCount val="8"/>
                <c:pt idx="1">
                  <c:v>10</c:v>
                </c:pt>
                <c:pt idx="2">
                  <c:v>22</c:v>
                </c:pt>
                <c:pt idx="3">
                  <c:v>1</c:v>
                </c:pt>
                <c:pt idx="4">
                  <c:v>3</c:v>
                </c:pt>
              </c:numCache>
            </c:numRef>
          </c:val>
          <c:extLst>
            <c:ext xmlns:c16="http://schemas.microsoft.com/office/drawing/2014/chart" uri="{C3380CC4-5D6E-409C-BE32-E72D297353CC}">
              <c16:uniqueId val="{00000001-DE1D-409D-BA71-AAB3B2A6FF7D}"/>
            </c:ext>
          </c:extLst>
        </c:ser>
        <c:ser>
          <c:idx val="2"/>
          <c:order val="2"/>
          <c:tx>
            <c:strRef>
              <c:f>MES!$E$2:$E$4</c:f>
              <c:strCache>
                <c:ptCount val="1"/>
                <c:pt idx="0">
                  <c:v>SI - SI</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MES!$B$5:$B$13</c:f>
              <c:strCache>
                <c:ptCount val="8"/>
                <c:pt idx="0">
                  <c:v>ENERO</c:v>
                </c:pt>
                <c:pt idx="1">
                  <c:v>FEBRERO</c:v>
                </c:pt>
                <c:pt idx="2">
                  <c:v>MARZO</c:v>
                </c:pt>
                <c:pt idx="3">
                  <c:v>ABRIL</c:v>
                </c:pt>
                <c:pt idx="4">
                  <c:v>MAYO</c:v>
                </c:pt>
                <c:pt idx="5">
                  <c:v>JUNIO</c:v>
                </c:pt>
                <c:pt idx="6">
                  <c:v>JULIO</c:v>
                </c:pt>
                <c:pt idx="7">
                  <c:v>SEPTIEMBRE</c:v>
                </c:pt>
              </c:strCache>
            </c:strRef>
          </c:cat>
          <c:val>
            <c:numRef>
              <c:f>MES!$E$5:$E$13</c:f>
              <c:numCache>
                <c:formatCode>General</c:formatCode>
                <c:ptCount val="8"/>
                <c:pt idx="0">
                  <c:v>2</c:v>
                </c:pt>
                <c:pt idx="1">
                  <c:v>13</c:v>
                </c:pt>
                <c:pt idx="2">
                  <c:v>7</c:v>
                </c:pt>
                <c:pt idx="3">
                  <c:v>3</c:v>
                </c:pt>
                <c:pt idx="4">
                  <c:v>3</c:v>
                </c:pt>
              </c:numCache>
            </c:numRef>
          </c:val>
          <c:extLst>
            <c:ext xmlns:c16="http://schemas.microsoft.com/office/drawing/2014/chart" uri="{C3380CC4-5D6E-409C-BE32-E72D297353CC}">
              <c16:uniqueId val="{00000002-DE1D-409D-BA71-AAB3B2A6FF7D}"/>
            </c:ext>
          </c:extLst>
        </c:ser>
        <c:dLbls>
          <c:showLegendKey val="0"/>
          <c:showVal val="0"/>
          <c:showCatName val="0"/>
          <c:showSerName val="0"/>
          <c:showPercent val="0"/>
          <c:showBubbleSize val="0"/>
        </c:dLbls>
        <c:gapWidth val="219"/>
        <c:overlap val="-27"/>
        <c:axId val="957837119"/>
        <c:axId val="957839039"/>
      </c:barChart>
      <c:catAx>
        <c:axId val="95783711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57839039"/>
        <c:crosses val="autoZero"/>
        <c:auto val="1"/>
        <c:lblAlgn val="ctr"/>
        <c:lblOffset val="100"/>
        <c:noMultiLvlLbl val="0"/>
      </c:catAx>
      <c:valAx>
        <c:axId val="95783903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57837119"/>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pivotSource>
    <c:name>[PAA - 2025 VERSIÓN 10.xlsx]MODALIDAD!TablaDinámica9</c:name>
    <c:fmtId val="2"/>
  </c:pivotSource>
  <c:chart>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MODALIDAD!$C$2:$C$4</c:f>
              <c:strCache>
                <c:ptCount val="1"/>
                <c:pt idx="0">
                  <c:v>ENERO</c:v>
                </c:pt>
              </c:strCache>
            </c:strRef>
          </c:tx>
          <c:spPr>
            <a:solidFill>
              <a:schemeClr val="accent1"/>
            </a:solidFill>
            <a:ln>
              <a:noFill/>
            </a:ln>
            <a:effectLst/>
          </c:spPr>
          <c:invertIfNegative val="0"/>
          <c:cat>
            <c:strRef>
              <c:f>MODALIDAD!$B$5:$B$11</c:f>
              <c:strCache>
                <c:ptCount val="6"/>
                <c:pt idx="0">
                  <c:v>a. Orden de Servicio o Compra</c:v>
                </c:pt>
                <c:pt idx="1">
                  <c:v>b. Contratación Directa</c:v>
                </c:pt>
                <c:pt idx="2">
                  <c:v>c. Contratación Expedita </c:v>
                </c:pt>
                <c:pt idx="3">
                  <c:v>d. Subasta inversa</c:v>
                </c:pt>
                <c:pt idx="4">
                  <c:v>e. Convocatoria pública</c:v>
                </c:pt>
                <c:pt idx="5">
                  <c:v>f. Adquisición a través de los mecanismos de agregación de demanda</c:v>
                </c:pt>
              </c:strCache>
            </c:strRef>
          </c:cat>
          <c:val>
            <c:numRef>
              <c:f>MODALIDAD!$C$5:$C$11</c:f>
              <c:numCache>
                <c:formatCode>General</c:formatCode>
                <c:ptCount val="6"/>
                <c:pt idx="1">
                  <c:v>2</c:v>
                </c:pt>
              </c:numCache>
            </c:numRef>
          </c:val>
          <c:extLst>
            <c:ext xmlns:c16="http://schemas.microsoft.com/office/drawing/2014/chart" uri="{C3380CC4-5D6E-409C-BE32-E72D297353CC}">
              <c16:uniqueId val="{00000000-937E-44CD-A54A-D541639850D6}"/>
            </c:ext>
          </c:extLst>
        </c:ser>
        <c:ser>
          <c:idx val="1"/>
          <c:order val="1"/>
          <c:tx>
            <c:strRef>
              <c:f>MODALIDAD!$D$2:$D$4</c:f>
              <c:strCache>
                <c:ptCount val="1"/>
                <c:pt idx="0">
                  <c:v>FEBRERO</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MODALIDAD!$B$5:$B$11</c:f>
              <c:strCache>
                <c:ptCount val="6"/>
                <c:pt idx="0">
                  <c:v>a. Orden de Servicio o Compra</c:v>
                </c:pt>
                <c:pt idx="1">
                  <c:v>b. Contratación Directa</c:v>
                </c:pt>
                <c:pt idx="2">
                  <c:v>c. Contratación Expedita </c:v>
                </c:pt>
                <c:pt idx="3">
                  <c:v>d. Subasta inversa</c:v>
                </c:pt>
                <c:pt idx="4">
                  <c:v>e. Convocatoria pública</c:v>
                </c:pt>
                <c:pt idx="5">
                  <c:v>f. Adquisición a través de los mecanismos de agregación de demanda</c:v>
                </c:pt>
              </c:strCache>
            </c:strRef>
          </c:cat>
          <c:val>
            <c:numRef>
              <c:f>MODALIDAD!$D$5:$D$11</c:f>
              <c:numCache>
                <c:formatCode>General</c:formatCode>
                <c:ptCount val="6"/>
                <c:pt idx="0">
                  <c:v>1</c:v>
                </c:pt>
                <c:pt idx="1">
                  <c:v>31</c:v>
                </c:pt>
                <c:pt idx="2">
                  <c:v>6</c:v>
                </c:pt>
                <c:pt idx="3">
                  <c:v>2</c:v>
                </c:pt>
                <c:pt idx="4">
                  <c:v>9</c:v>
                </c:pt>
                <c:pt idx="5">
                  <c:v>1</c:v>
                </c:pt>
              </c:numCache>
            </c:numRef>
          </c:val>
          <c:extLst>
            <c:ext xmlns:c16="http://schemas.microsoft.com/office/drawing/2014/chart" uri="{C3380CC4-5D6E-409C-BE32-E72D297353CC}">
              <c16:uniqueId val="{00000001-937E-44CD-A54A-D541639850D6}"/>
            </c:ext>
          </c:extLst>
        </c:ser>
        <c:ser>
          <c:idx val="2"/>
          <c:order val="2"/>
          <c:tx>
            <c:strRef>
              <c:f>MODALIDAD!$E$2:$E$4</c:f>
              <c:strCache>
                <c:ptCount val="1"/>
                <c:pt idx="0">
                  <c:v>MARZO</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MODALIDAD!$B$5:$B$11</c:f>
              <c:strCache>
                <c:ptCount val="6"/>
                <c:pt idx="0">
                  <c:v>a. Orden de Servicio o Compra</c:v>
                </c:pt>
                <c:pt idx="1">
                  <c:v>b. Contratación Directa</c:v>
                </c:pt>
                <c:pt idx="2">
                  <c:v>c. Contratación Expedita </c:v>
                </c:pt>
                <c:pt idx="3">
                  <c:v>d. Subasta inversa</c:v>
                </c:pt>
                <c:pt idx="4">
                  <c:v>e. Convocatoria pública</c:v>
                </c:pt>
                <c:pt idx="5">
                  <c:v>f. Adquisición a través de los mecanismos de agregación de demanda</c:v>
                </c:pt>
              </c:strCache>
            </c:strRef>
          </c:cat>
          <c:val>
            <c:numRef>
              <c:f>MODALIDAD!$E$5:$E$11</c:f>
              <c:numCache>
                <c:formatCode>General</c:formatCode>
                <c:ptCount val="6"/>
                <c:pt idx="0">
                  <c:v>1</c:v>
                </c:pt>
                <c:pt idx="1">
                  <c:v>36</c:v>
                </c:pt>
                <c:pt idx="2">
                  <c:v>7</c:v>
                </c:pt>
                <c:pt idx="3">
                  <c:v>3</c:v>
                </c:pt>
                <c:pt idx="4">
                  <c:v>2</c:v>
                </c:pt>
              </c:numCache>
            </c:numRef>
          </c:val>
          <c:extLst>
            <c:ext xmlns:c16="http://schemas.microsoft.com/office/drawing/2014/chart" uri="{C3380CC4-5D6E-409C-BE32-E72D297353CC}">
              <c16:uniqueId val="{00000002-937E-44CD-A54A-D541639850D6}"/>
            </c:ext>
          </c:extLst>
        </c:ser>
        <c:ser>
          <c:idx val="3"/>
          <c:order val="3"/>
          <c:tx>
            <c:strRef>
              <c:f>MODALIDAD!$F$2:$F$4</c:f>
              <c:strCache>
                <c:ptCount val="1"/>
                <c:pt idx="0">
                  <c:v>ABRIL</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MODALIDAD!$B$5:$B$11</c:f>
              <c:strCache>
                <c:ptCount val="6"/>
                <c:pt idx="0">
                  <c:v>a. Orden de Servicio o Compra</c:v>
                </c:pt>
                <c:pt idx="1">
                  <c:v>b. Contratación Directa</c:v>
                </c:pt>
                <c:pt idx="2">
                  <c:v>c. Contratación Expedita </c:v>
                </c:pt>
                <c:pt idx="3">
                  <c:v>d. Subasta inversa</c:v>
                </c:pt>
                <c:pt idx="4">
                  <c:v>e. Convocatoria pública</c:v>
                </c:pt>
                <c:pt idx="5">
                  <c:v>f. Adquisición a través de los mecanismos de agregación de demanda</c:v>
                </c:pt>
              </c:strCache>
            </c:strRef>
          </c:cat>
          <c:val>
            <c:numRef>
              <c:f>MODALIDAD!$F$5:$F$11</c:f>
              <c:numCache>
                <c:formatCode>General</c:formatCode>
                <c:ptCount val="6"/>
                <c:pt idx="1">
                  <c:v>6</c:v>
                </c:pt>
                <c:pt idx="2">
                  <c:v>2</c:v>
                </c:pt>
                <c:pt idx="4">
                  <c:v>1</c:v>
                </c:pt>
                <c:pt idx="5">
                  <c:v>1</c:v>
                </c:pt>
              </c:numCache>
            </c:numRef>
          </c:val>
          <c:extLst>
            <c:ext xmlns:c16="http://schemas.microsoft.com/office/drawing/2014/chart" uri="{C3380CC4-5D6E-409C-BE32-E72D297353CC}">
              <c16:uniqueId val="{00000003-937E-44CD-A54A-D541639850D6}"/>
            </c:ext>
          </c:extLst>
        </c:ser>
        <c:ser>
          <c:idx val="4"/>
          <c:order val="4"/>
          <c:tx>
            <c:strRef>
              <c:f>MODALIDAD!$G$2:$G$4</c:f>
              <c:strCache>
                <c:ptCount val="1"/>
                <c:pt idx="0">
                  <c:v>MAYO</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MODALIDAD!$B$5:$B$11</c:f>
              <c:strCache>
                <c:ptCount val="6"/>
                <c:pt idx="0">
                  <c:v>a. Orden de Servicio o Compra</c:v>
                </c:pt>
                <c:pt idx="1">
                  <c:v>b. Contratación Directa</c:v>
                </c:pt>
                <c:pt idx="2">
                  <c:v>c. Contratación Expedita </c:v>
                </c:pt>
                <c:pt idx="3">
                  <c:v>d. Subasta inversa</c:v>
                </c:pt>
                <c:pt idx="4">
                  <c:v>e. Convocatoria pública</c:v>
                </c:pt>
                <c:pt idx="5">
                  <c:v>f. Adquisición a través de los mecanismos de agregación de demanda</c:v>
                </c:pt>
              </c:strCache>
            </c:strRef>
          </c:cat>
          <c:val>
            <c:numRef>
              <c:f>MODALIDAD!$G$5:$G$11</c:f>
              <c:numCache>
                <c:formatCode>General</c:formatCode>
                <c:ptCount val="6"/>
                <c:pt idx="1">
                  <c:v>17</c:v>
                </c:pt>
                <c:pt idx="2">
                  <c:v>1</c:v>
                </c:pt>
                <c:pt idx="4">
                  <c:v>1</c:v>
                </c:pt>
              </c:numCache>
            </c:numRef>
          </c:val>
          <c:extLst>
            <c:ext xmlns:c16="http://schemas.microsoft.com/office/drawing/2014/chart" uri="{C3380CC4-5D6E-409C-BE32-E72D297353CC}">
              <c16:uniqueId val="{00000004-937E-44CD-A54A-D541639850D6}"/>
            </c:ext>
          </c:extLst>
        </c:ser>
        <c:ser>
          <c:idx val="5"/>
          <c:order val="5"/>
          <c:tx>
            <c:strRef>
              <c:f>MODALIDAD!$H$2:$H$4</c:f>
              <c:strCache>
                <c:ptCount val="1"/>
                <c:pt idx="0">
                  <c:v>JUNIO</c:v>
                </c:pt>
              </c:strCache>
            </c:strRef>
          </c:tx>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MODALIDAD!$B$5:$B$11</c:f>
              <c:strCache>
                <c:ptCount val="6"/>
                <c:pt idx="0">
                  <c:v>a. Orden de Servicio o Compra</c:v>
                </c:pt>
                <c:pt idx="1">
                  <c:v>b. Contratación Directa</c:v>
                </c:pt>
                <c:pt idx="2">
                  <c:v>c. Contratación Expedita </c:v>
                </c:pt>
                <c:pt idx="3">
                  <c:v>d. Subasta inversa</c:v>
                </c:pt>
                <c:pt idx="4">
                  <c:v>e. Convocatoria pública</c:v>
                </c:pt>
                <c:pt idx="5">
                  <c:v>f. Adquisición a través de los mecanismos de agregación de demanda</c:v>
                </c:pt>
              </c:strCache>
            </c:strRef>
          </c:cat>
          <c:val>
            <c:numRef>
              <c:f>MODALIDAD!$H$5:$H$11</c:f>
              <c:numCache>
                <c:formatCode>General</c:formatCode>
                <c:ptCount val="6"/>
                <c:pt idx="1">
                  <c:v>1</c:v>
                </c:pt>
                <c:pt idx="2">
                  <c:v>1</c:v>
                </c:pt>
                <c:pt idx="5">
                  <c:v>1</c:v>
                </c:pt>
              </c:numCache>
            </c:numRef>
          </c:val>
          <c:extLst>
            <c:ext xmlns:c16="http://schemas.microsoft.com/office/drawing/2014/chart" uri="{C3380CC4-5D6E-409C-BE32-E72D297353CC}">
              <c16:uniqueId val="{00000005-937E-44CD-A54A-D541639850D6}"/>
            </c:ext>
          </c:extLst>
        </c:ser>
        <c:ser>
          <c:idx val="6"/>
          <c:order val="6"/>
          <c:tx>
            <c:strRef>
              <c:f>MODALIDAD!$I$2:$I$4</c:f>
              <c:strCache>
                <c:ptCount val="1"/>
                <c:pt idx="0">
                  <c:v>JULIO</c:v>
                </c:pt>
              </c:strCache>
            </c:strRef>
          </c:tx>
          <c:spPr>
            <a:solidFill>
              <a:schemeClr val="accent1">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MODALIDAD!$B$5:$B$11</c:f>
              <c:strCache>
                <c:ptCount val="6"/>
                <c:pt idx="0">
                  <c:v>a. Orden de Servicio o Compra</c:v>
                </c:pt>
                <c:pt idx="1">
                  <c:v>b. Contratación Directa</c:v>
                </c:pt>
                <c:pt idx="2">
                  <c:v>c. Contratación Expedita </c:v>
                </c:pt>
                <c:pt idx="3">
                  <c:v>d. Subasta inversa</c:v>
                </c:pt>
                <c:pt idx="4">
                  <c:v>e. Convocatoria pública</c:v>
                </c:pt>
                <c:pt idx="5">
                  <c:v>f. Adquisición a través de los mecanismos de agregación de demanda</c:v>
                </c:pt>
              </c:strCache>
            </c:strRef>
          </c:cat>
          <c:val>
            <c:numRef>
              <c:f>MODALIDAD!$I$5:$I$11</c:f>
              <c:numCache>
                <c:formatCode>General</c:formatCode>
                <c:ptCount val="6"/>
                <c:pt idx="1">
                  <c:v>1</c:v>
                </c:pt>
                <c:pt idx="2">
                  <c:v>3</c:v>
                </c:pt>
                <c:pt idx="4">
                  <c:v>1</c:v>
                </c:pt>
              </c:numCache>
            </c:numRef>
          </c:val>
          <c:extLst>
            <c:ext xmlns:c16="http://schemas.microsoft.com/office/drawing/2014/chart" uri="{C3380CC4-5D6E-409C-BE32-E72D297353CC}">
              <c16:uniqueId val="{00000006-937E-44CD-A54A-D541639850D6}"/>
            </c:ext>
          </c:extLst>
        </c:ser>
        <c:ser>
          <c:idx val="7"/>
          <c:order val="7"/>
          <c:tx>
            <c:strRef>
              <c:f>MODALIDAD!$J$2:$J$4</c:f>
              <c:strCache>
                <c:ptCount val="1"/>
                <c:pt idx="0">
                  <c:v>SEPTIEMBRE</c:v>
                </c:pt>
              </c:strCache>
            </c:strRef>
          </c:tx>
          <c:spPr>
            <a:solidFill>
              <a:schemeClr val="accent2">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MODALIDAD!$B$5:$B$11</c:f>
              <c:strCache>
                <c:ptCount val="6"/>
                <c:pt idx="0">
                  <c:v>a. Orden de Servicio o Compra</c:v>
                </c:pt>
                <c:pt idx="1">
                  <c:v>b. Contratación Directa</c:v>
                </c:pt>
                <c:pt idx="2">
                  <c:v>c. Contratación Expedita </c:v>
                </c:pt>
                <c:pt idx="3">
                  <c:v>d. Subasta inversa</c:v>
                </c:pt>
                <c:pt idx="4">
                  <c:v>e. Convocatoria pública</c:v>
                </c:pt>
                <c:pt idx="5">
                  <c:v>f. Adquisición a través de los mecanismos de agregación de demanda</c:v>
                </c:pt>
              </c:strCache>
            </c:strRef>
          </c:cat>
          <c:val>
            <c:numRef>
              <c:f>MODALIDAD!$J$5:$J$11</c:f>
              <c:numCache>
                <c:formatCode>General</c:formatCode>
                <c:ptCount val="6"/>
                <c:pt idx="2">
                  <c:v>1</c:v>
                </c:pt>
              </c:numCache>
            </c:numRef>
          </c:val>
          <c:extLst>
            <c:ext xmlns:c16="http://schemas.microsoft.com/office/drawing/2014/chart" uri="{C3380CC4-5D6E-409C-BE32-E72D297353CC}">
              <c16:uniqueId val="{00000007-937E-44CD-A54A-D541639850D6}"/>
            </c:ext>
          </c:extLst>
        </c:ser>
        <c:dLbls>
          <c:showLegendKey val="0"/>
          <c:showVal val="0"/>
          <c:showCatName val="0"/>
          <c:showSerName val="0"/>
          <c:showPercent val="0"/>
          <c:showBubbleSize val="0"/>
        </c:dLbls>
        <c:gapWidth val="219"/>
        <c:overlap val="-27"/>
        <c:axId val="947538719"/>
        <c:axId val="947540159"/>
      </c:barChart>
      <c:catAx>
        <c:axId val="94753871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47540159"/>
        <c:crosses val="autoZero"/>
        <c:auto val="1"/>
        <c:lblAlgn val="ctr"/>
        <c:lblOffset val="100"/>
        <c:noMultiLvlLbl val="0"/>
      </c:catAx>
      <c:valAx>
        <c:axId val="94754015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47538719"/>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solidFill>
      <a:round/>
    </a:ln>
    <a:effectLst/>
  </c:spPr>
  <c:txPr>
    <a:bodyPr/>
    <a:lstStyle/>
    <a:p>
      <a:pPr>
        <a:defRPr/>
      </a:pPr>
      <a:endParaRPr lang="es-CO"/>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1</xdr:col>
      <xdr:colOff>489858</xdr:colOff>
      <xdr:row>1</xdr:row>
      <xdr:rowOff>68035</xdr:rowOff>
    </xdr:from>
    <xdr:ext cx="1350294" cy="821871"/>
    <xdr:pic>
      <xdr:nvPicPr>
        <xdr:cNvPr id="2" name="Imagen 1" descr="Logotipo&#10;&#10;Descripción generada automáticamente">
          <a:extLst>
            <a:ext uri="{FF2B5EF4-FFF2-40B4-BE49-F238E27FC236}">
              <a16:creationId xmlns:a16="http://schemas.microsoft.com/office/drawing/2014/main" id="{A680F364-8750-4D5E-A098-B37B2234F5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4158" y="249010"/>
          <a:ext cx="1350294" cy="821871"/>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10</xdr:col>
      <xdr:colOff>85726</xdr:colOff>
      <xdr:row>0</xdr:row>
      <xdr:rowOff>190500</xdr:rowOff>
    </xdr:from>
    <xdr:to>
      <xdr:col>48</xdr:col>
      <xdr:colOff>133350</xdr:colOff>
      <xdr:row>17</xdr:row>
      <xdr:rowOff>85725</xdr:rowOff>
    </xdr:to>
    <xdr:graphicFrame macro="">
      <xdr:nvGraphicFramePr>
        <xdr:cNvPr id="4" name="Gráfico 3">
          <a:extLst>
            <a:ext uri="{FF2B5EF4-FFF2-40B4-BE49-F238E27FC236}">
              <a16:creationId xmlns:a16="http://schemas.microsoft.com/office/drawing/2014/main" id="{B4D2E7CD-07A9-1F3C-5FAB-A6FB1B7E1E3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11</xdr:col>
      <xdr:colOff>28574</xdr:colOff>
      <xdr:row>1</xdr:row>
      <xdr:rowOff>4760</xdr:rowOff>
    </xdr:from>
    <xdr:to>
      <xdr:col>25</xdr:col>
      <xdr:colOff>447675</xdr:colOff>
      <xdr:row>32</xdr:row>
      <xdr:rowOff>9525</xdr:rowOff>
    </xdr:to>
    <xdr:graphicFrame macro="">
      <xdr:nvGraphicFramePr>
        <xdr:cNvPr id="4" name="Gráfico 3">
          <a:extLst>
            <a:ext uri="{FF2B5EF4-FFF2-40B4-BE49-F238E27FC236}">
              <a16:creationId xmlns:a16="http://schemas.microsoft.com/office/drawing/2014/main" id="{11523432-B1EF-CA7C-70B7-6BEEE94DC56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10</xdr:col>
      <xdr:colOff>361949</xdr:colOff>
      <xdr:row>0</xdr:row>
      <xdr:rowOff>147636</xdr:rowOff>
    </xdr:from>
    <xdr:to>
      <xdr:col>18</xdr:col>
      <xdr:colOff>447674</xdr:colOff>
      <xdr:row>18</xdr:row>
      <xdr:rowOff>95250</xdr:rowOff>
    </xdr:to>
    <xdr:graphicFrame macro="">
      <xdr:nvGraphicFramePr>
        <xdr:cNvPr id="3" name="Gráfico 2">
          <a:extLst>
            <a:ext uri="{FF2B5EF4-FFF2-40B4-BE49-F238E27FC236}">
              <a16:creationId xmlns:a16="http://schemas.microsoft.com/office/drawing/2014/main" id="{32A18168-5A36-436B-853B-8C2F242E145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11</xdr:col>
      <xdr:colOff>180975</xdr:colOff>
      <xdr:row>0</xdr:row>
      <xdr:rowOff>190500</xdr:rowOff>
    </xdr:from>
    <xdr:to>
      <xdr:col>19</xdr:col>
      <xdr:colOff>561975</xdr:colOff>
      <xdr:row>21</xdr:row>
      <xdr:rowOff>171449</xdr:rowOff>
    </xdr:to>
    <xdr:graphicFrame macro="">
      <xdr:nvGraphicFramePr>
        <xdr:cNvPr id="2" name="Gráfico 1">
          <a:extLst>
            <a:ext uri="{FF2B5EF4-FFF2-40B4-BE49-F238E27FC236}">
              <a16:creationId xmlns:a16="http://schemas.microsoft.com/office/drawing/2014/main" id="{658A7401-2F62-A64B-3150-3C687E7036B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saesas-my.sharepoint.com/personal/jlgonzalez_saesas_gov_co/Documents/Libro4.xlsx" TargetMode="External"/><Relationship Id="rId1" Type="http://schemas.openxmlformats.org/officeDocument/2006/relationships/externalLinkPath" Target="https://saesas-my.sharepoint.com/personal/jlgonzalez_saesas_gov_co/Documents/Libro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ja1"/>
      <sheetName val="Hoja2"/>
      <sheetName val="Hoja3"/>
      <sheetName val="Hoja4"/>
    </sheetNames>
    <sheetDataSet>
      <sheetData sheetId="0" refreshError="1"/>
      <sheetData sheetId="1">
        <row r="1">
          <cell r="B1" t="str">
            <v>NÚMERO DE CONTRATO</v>
          </cell>
          <cell r="C1" t="str">
            <v>FECHA DE SUSCRIPCIÓN DEL CONTRATO</v>
          </cell>
          <cell r="D1" t="str">
            <v>NOMBRE CONTRATISTA</v>
          </cell>
          <cell r="E1" t="str">
            <v>NIT Y/O CEDULA</v>
          </cell>
          <cell r="F1" t="str">
            <v>CLASE DE CONTRATO</v>
          </cell>
          <cell r="G1" t="str">
            <v xml:space="preserve">MODALIDAD DE CONTRATACION  </v>
          </cell>
          <cell r="H1" t="str">
            <v>OBJETO DEL CONTRATO</v>
          </cell>
          <cell r="I1" t="str">
            <v>FECHA INICIO</v>
          </cell>
          <cell r="J1" t="str">
            <v>FECHA TERMINACIÓN CONTRATO INICIAL</v>
          </cell>
          <cell r="K1" t="str">
            <v>FUENTE PRESUPUESTAL</v>
          </cell>
          <cell r="L1" t="str">
            <v xml:space="preserve">VALOR INICIAL DEL CONTRATO </v>
          </cell>
          <cell r="M1" t="str">
            <v>PLAZO INICIAL CONTRATO</v>
          </cell>
          <cell r="N1" t="str">
            <v>RUBRO PRESUPUESTAL</v>
          </cell>
          <cell r="O1" t="str">
            <v>VALOR MODIFICACIONES</v>
          </cell>
          <cell r="P1" t="str">
            <v>VALOR TOTAL CONTRATO + MODIFICACIONES</v>
          </cell>
          <cell r="Q1" t="str">
            <v>PLAZO DE PRORROGA</v>
          </cell>
          <cell r="R1" t="str">
            <v>PLAZO TOTAL CONTRATO + PRORROGA</v>
          </cell>
          <cell r="S1" t="str">
            <v>FECHA FINAL</v>
          </cell>
          <cell r="T1" t="str">
            <v>ESTADO</v>
          </cell>
          <cell r="U1" t="str">
            <v>PROCEDE LIQUIDACIÓN</v>
          </cell>
          <cell r="V1" t="str">
            <v>DEPENDENCIA</v>
          </cell>
          <cell r="W1" t="str">
            <v>SUPERVISOR CONTRATO</v>
          </cell>
        </row>
        <row r="2">
          <cell r="B2" t="str">
            <v>014-2015</v>
          </cell>
          <cell r="C2">
            <v>42037</v>
          </cell>
          <cell r="D2" t="str">
            <v>CONTI CONSTRUCCION &amp; INGENIERIA SAS CI</v>
          </cell>
          <cell r="E2" t="str">
            <v>800171121-8</v>
          </cell>
          <cell r="F2" t="str">
            <v>ARRENDAMIENTO Y/O ADQUISICIÓN DE INMUEBLES</v>
          </cell>
          <cell r="G2" t="str">
            <v>ORDEN DE COMPRA</v>
          </cell>
          <cell r="H2" t="str">
            <v>Arrendar una bodega ubicada en la Cra 36 No 15 - 35 en la ciudad de Bogotá, para la disposición, custodia y administración del archivo de la SOCIEDAD DE ACTIVOS ESPECIALES - SAE SAS</v>
          </cell>
          <cell r="I2">
            <v>42037</v>
          </cell>
          <cell r="J2">
            <v>42125</v>
          </cell>
          <cell r="K2" t="str">
            <v>SAE</v>
          </cell>
          <cell r="L2">
            <v>16356000</v>
          </cell>
          <cell r="M2">
            <v>90</v>
          </cell>
          <cell r="N2" t="str">
            <v>A-2-0-4-10-02</v>
          </cell>
          <cell r="O2">
            <v>3548191409</v>
          </cell>
          <cell r="P2">
            <v>3564547409</v>
          </cell>
          <cell r="Q2">
            <v>3713</v>
          </cell>
          <cell r="R2">
            <v>3801</v>
          </cell>
          <cell r="S2">
            <v>45838</v>
          </cell>
          <cell r="T2" t="str">
            <v>VIGENTE</v>
          </cell>
          <cell r="U2">
            <v>0</v>
          </cell>
          <cell r="V2" t="str">
            <v>DIRECCIÓN ADMINISTRATIVA</v>
          </cell>
          <cell r="W2">
            <v>0</v>
          </cell>
        </row>
        <row r="3">
          <cell r="B3" t="str">
            <v>018-2015</v>
          </cell>
          <cell r="C3">
            <v>42144</v>
          </cell>
          <cell r="D3" t="str">
            <v>NACION - MINISTERIO DE JUSTICIA Y DEL DERECHO</v>
          </cell>
          <cell r="E3" t="str">
            <v>900457461-9</v>
          </cell>
          <cell r="F3" t="str">
            <v>COMPRAVENTA Y/O SUMINISTRO</v>
          </cell>
          <cell r="G3" t="str">
            <v>CONTRATACION DIRECTA</v>
          </cell>
          <cell r="H3" t="str">
            <v>La Sociedad de Activos Especiales S.A.S. - SAE S.A.S. entregara al Ministerio de Justicia y del Derecho en calidad de comodato, el uso, goce y disfrute de los bienes muebles, que se relacionan en el anexo No 1 Elementos a entregar, el cual forma parte integral del comodato.</v>
          </cell>
          <cell r="I3">
            <v>42144</v>
          </cell>
          <cell r="J3">
            <v>43944</v>
          </cell>
          <cell r="K3" t="str">
            <v>SAE</v>
          </cell>
          <cell r="L3" t="str">
            <v xml:space="preserve">$ - </v>
          </cell>
          <cell r="M3">
            <v>1800</v>
          </cell>
          <cell r="N3" t="str">
            <v>N/A</v>
          </cell>
          <cell r="O3" t="str">
            <v xml:space="preserve">$ - </v>
          </cell>
          <cell r="P3" t="str">
            <v xml:space="preserve"> $ - </v>
          </cell>
          <cell r="Q3">
            <v>1960</v>
          </cell>
          <cell r="R3">
            <v>3760</v>
          </cell>
          <cell r="S3">
            <v>45904</v>
          </cell>
          <cell r="T3" t="str">
            <v>VIGENTE</v>
          </cell>
          <cell r="U3">
            <v>0</v>
          </cell>
          <cell r="V3" t="str">
            <v>DIRECCIÓN ADMINISTRATIVA</v>
          </cell>
          <cell r="W3">
            <v>0</v>
          </cell>
        </row>
        <row r="4">
          <cell r="B4" t="str">
            <v>026-2015</v>
          </cell>
          <cell r="C4">
            <v>42187</v>
          </cell>
          <cell r="D4" t="str">
            <v>LUIS EDMUNDO SUAREZ SOTO</v>
          </cell>
          <cell r="E4">
            <v>17336455</v>
          </cell>
          <cell r="F4" t="str">
            <v>CONVENIO INTERADMINISTRATIVO</v>
          </cell>
          <cell r="G4" t="str">
            <v>CONTRATACION DIRECTA</v>
          </cell>
          <cell r="H4" t="str">
            <v>Establecer una alianza estrategica entre SAE SAS y la UIAF que permita la entrega de informacion relevante a la UIAF para el desarrollo de su funcion de inteligencia financiera, y que se relacione con los depositarios de los bienes que en el marco de las competencia atribuidas legalmente a SAE SAS les sean entregados a estos depositarios.</v>
          </cell>
          <cell r="I4">
            <v>42187</v>
          </cell>
          <cell r="J4">
            <v>45787</v>
          </cell>
          <cell r="K4" t="str">
            <v>SAE</v>
          </cell>
          <cell r="L4" t="str">
            <v xml:space="preserve">$ - </v>
          </cell>
          <cell r="M4">
            <v>3600</v>
          </cell>
          <cell r="N4" t="str">
            <v>N/A</v>
          </cell>
          <cell r="O4" t="str">
            <v xml:space="preserve">$ - </v>
          </cell>
          <cell r="P4" t="str">
            <v xml:space="preserve"> $ - </v>
          </cell>
          <cell r="Q4">
            <v>53</v>
          </cell>
          <cell r="R4">
            <v>3653</v>
          </cell>
          <cell r="S4">
            <v>45840</v>
          </cell>
          <cell r="T4" t="str">
            <v>VIGENTE</v>
          </cell>
          <cell r="U4">
            <v>0</v>
          </cell>
          <cell r="V4" t="str">
            <v>OFICINA DE TECNOLOGÍAS Y SISTEMAS DE INFORMACIÓN</v>
          </cell>
          <cell r="W4" t="str">
            <v>GIOVANNY ALEJANDRO LOPEZ INSUASTI</v>
          </cell>
        </row>
        <row r="5">
          <cell r="D5" t="str">
            <v>UNIDAD DE INFORMACION Y ANALISIS FINANCIERO  - UIAF</v>
          </cell>
        </row>
        <row r="6">
          <cell r="B6" t="str">
            <v>030-2015</v>
          </cell>
          <cell r="C6">
            <v>42258</v>
          </cell>
          <cell r="D6" t="str">
            <v>NACION - MINISTERIO DE JUSTICIA Y DEL DERECHO Y SAE</v>
          </cell>
          <cell r="E6" t="str">
            <v>900457461-9</v>
          </cell>
          <cell r="F6" t="str">
            <v>COMPRAVENTA Y/O SUMINISTRO</v>
          </cell>
          <cell r="G6" t="str">
            <v>CONTRATACION DIRECTA</v>
          </cell>
          <cell r="H6" t="str">
            <v>El Ministerio de Justicia y del Derecho, entregara en calidad de comodato el uso, goce y disfrute de unos muebles clasificados de acuerdo a los siguientes lotes: muebles y enseres de cafeteria y oficina y planta telefonica</v>
          </cell>
          <cell r="I6">
            <v>42258</v>
          </cell>
          <cell r="J6">
            <v>44058</v>
          </cell>
          <cell r="K6" t="str">
            <v>SAE</v>
          </cell>
          <cell r="L6" t="str">
            <v xml:space="preserve">$ - </v>
          </cell>
          <cell r="M6">
            <v>1800</v>
          </cell>
          <cell r="N6" t="str">
            <v>N/A</v>
          </cell>
          <cell r="O6" t="str">
            <v xml:space="preserve">$ - </v>
          </cell>
          <cell r="P6" t="str">
            <v xml:space="preserve"> $ - </v>
          </cell>
          <cell r="Q6">
            <v>1846</v>
          </cell>
          <cell r="R6">
            <v>3646</v>
          </cell>
          <cell r="S6">
            <v>45904</v>
          </cell>
          <cell r="T6" t="str">
            <v>VIGENTE</v>
          </cell>
          <cell r="U6">
            <v>0</v>
          </cell>
          <cell r="V6" t="str">
            <v>DIRECCIÓN ADMINISTRATIVA</v>
          </cell>
          <cell r="W6">
            <v>0</v>
          </cell>
        </row>
        <row r="7">
          <cell r="B7" t="str">
            <v>042-2015</v>
          </cell>
          <cell r="C7">
            <v>42353</v>
          </cell>
          <cell r="D7" t="str">
            <v>VALLE NEVADO S.A.</v>
          </cell>
          <cell r="E7" t="str">
            <v>830072716-4</v>
          </cell>
          <cell r="F7" t="str">
            <v>ARRENDAMIENTO Y/O ADQUISICIÓN DE INMUEBLES</v>
          </cell>
          <cell r="G7" t="str">
            <v>ORDEN DE SERVICIO</v>
          </cell>
          <cell r="H7" t="str">
            <v>Mediante la suscripción del presente contrato EL ARRENDADOR entrega al ARRENDATARIO a titulo de arrendamiento el uso y goce de la oficina 901 y los parqueaderos 324,325,326,327,328,329,330 y 331 del Edificio Colinas del Poblado ubicado en la Carrera 43A No. 14 - 27 en la ciudad de Medellin (Antioquia), identificado con los FMI 001-302249, 001-302167, 001-302168, 001-302169, 001-302170, 001-302171, 001-302172, 001-302173 y 001-302174 respectivamente</v>
          </cell>
          <cell r="I7">
            <v>42353</v>
          </cell>
          <cell r="J7">
            <v>43493</v>
          </cell>
          <cell r="K7" t="str">
            <v>SAE</v>
          </cell>
          <cell r="L7">
            <v>418939626</v>
          </cell>
          <cell r="M7">
            <v>1140</v>
          </cell>
          <cell r="N7" t="str">
            <v>A-2-0-4-10-02</v>
          </cell>
          <cell r="O7">
            <v>1157233365</v>
          </cell>
          <cell r="P7">
            <v>1576172991</v>
          </cell>
          <cell r="Q7">
            <v>2437</v>
          </cell>
          <cell r="R7">
            <v>3577</v>
          </cell>
          <cell r="S7">
            <v>45930</v>
          </cell>
          <cell r="T7" t="str">
            <v>VIGENTE</v>
          </cell>
          <cell r="U7" t="str">
            <v>SI</v>
          </cell>
          <cell r="V7" t="str">
            <v>DIRECCIÓN TERRITORIAL DE OCCIDENTE</v>
          </cell>
          <cell r="W7" t="str">
            <v>LUIS MAURICIO URQUIJO TEJADA</v>
          </cell>
        </row>
        <row r="8">
          <cell r="B8" t="str">
            <v>029-2016</v>
          </cell>
          <cell r="C8">
            <v>42438</v>
          </cell>
          <cell r="D8" t="str">
            <v>A.T.S.GESTION DOCUMENTAL S.A.S.</v>
          </cell>
          <cell r="E8" t="str">
            <v>900284304-7</v>
          </cell>
          <cell r="F8" t="str">
            <v>PRESTACIÓN DE SERVICIOS</v>
          </cell>
          <cell r="G8" t="str">
            <v>ORDEN DE SERVICIO</v>
          </cell>
          <cell r="H8" t="str">
            <v>Contratar una empresa que preste los servicios de almacenamiento, custodia y transporte de medios magnéticos los cuales contienen la información misional, confidencial y sensible de la Sociedad, de acuerdo a lo estipulado en los Estudios Previos.</v>
          </cell>
          <cell r="I8">
            <v>42467</v>
          </cell>
          <cell r="J8">
            <v>42827</v>
          </cell>
          <cell r="K8" t="str">
            <v>SAE</v>
          </cell>
          <cell r="L8">
            <v>19116058</v>
          </cell>
          <cell r="M8">
            <v>360</v>
          </cell>
          <cell r="N8" t="str">
            <v>A-2-0-4-10-01</v>
          </cell>
          <cell r="O8">
            <v>141134056</v>
          </cell>
          <cell r="P8">
            <v>160250114</v>
          </cell>
          <cell r="Q8">
            <v>3421</v>
          </cell>
          <cell r="R8">
            <v>3781</v>
          </cell>
          <cell r="S8">
            <v>46248</v>
          </cell>
          <cell r="T8" t="str">
            <v>VIGENTE</v>
          </cell>
          <cell r="U8" t="str">
            <v>NO</v>
          </cell>
          <cell r="V8" t="str">
            <v>OFICINA DE TECNOLOGÍAS Y SISTEMAS DE INFORMACIÓN</v>
          </cell>
          <cell r="W8" t="str">
            <v xml:space="preserve">DIVEITH DIANA CRISTINA DAVILA GOMEZ </v>
          </cell>
        </row>
        <row r="9">
          <cell r="B9" t="str">
            <v>041-2016</v>
          </cell>
          <cell r="C9">
            <v>42513</v>
          </cell>
          <cell r="D9" t="str">
            <v>FIDUCIARIA COLOMBIANA DE COMERCIO EXTERIOR S.A. - FIDUCOLDEX - FONDO NACIONAL DE TURISMO - FONTUR</v>
          </cell>
          <cell r="E9" t="str">
            <v>900649119-9</v>
          </cell>
          <cell r="F9" t="str">
            <v>CONVENIO INTERADMINISTRATIVO</v>
          </cell>
          <cell r="G9" t="str">
            <v>CONTRATACION DIRECTA</v>
          </cell>
          <cell r="H9" t="str">
            <v xml:space="preserve">Esteblecer los compromiso de las partes y los adherentes , con el fin de que se cumpla el pago del pasivo laboral y pensional , de la compañía HOTEL EL PRADO , activos que forma parte del FRISCO , con el fin de meJorar la competitividad turistica. </v>
          </cell>
          <cell r="I9">
            <v>42513</v>
          </cell>
          <cell r="J9">
            <v>43233</v>
          </cell>
          <cell r="K9" t="str">
            <v>SAE</v>
          </cell>
          <cell r="L9">
            <v>8265000000</v>
          </cell>
          <cell r="M9">
            <v>720</v>
          </cell>
          <cell r="N9" t="str">
            <v>N/A</v>
          </cell>
          <cell r="O9" t="str">
            <v xml:space="preserve">$ - </v>
          </cell>
          <cell r="P9">
            <v>8265000000</v>
          </cell>
          <cell r="Q9">
            <v>2567</v>
          </cell>
          <cell r="R9">
            <v>3287</v>
          </cell>
          <cell r="S9">
            <v>45800</v>
          </cell>
          <cell r="T9" t="str">
            <v>VIGENTE</v>
          </cell>
          <cell r="U9" t="str">
            <v>SI</v>
          </cell>
          <cell r="V9" t="str">
            <v>DIRECCIÓN DE SEGUIMIENTO Y CONTROL DE LIQUIDACIONES</v>
          </cell>
          <cell r="W9" t="str">
            <v>NURY ANGELICA QUIROGA GARCIA</v>
          </cell>
        </row>
        <row r="10">
          <cell r="B10" t="str">
            <v>062-2017</v>
          </cell>
          <cell r="C10">
            <v>43089</v>
          </cell>
          <cell r="D10" t="str">
            <v>MARCELA OCAMPO DUQUE - BANCO DE LA REPUBLICA</v>
          </cell>
          <cell r="E10">
            <v>35461180</v>
          </cell>
          <cell r="F10" t="str">
            <v>CONVENIO INTERADMINISTRATIVO</v>
          </cell>
          <cell r="G10" t="str">
            <v>CONTRATACION DIRECTA</v>
          </cell>
          <cell r="H10" t="str">
            <v>Deposito en custodia de Oro, Plata, Platino, Divisas, Joyas y Piedras Preciosas, la remisión al exterior de las Divisas para su aceptación y autenticación por los bancos emisores correspondientes, para ser trasferidas a la(s) cuenta(s) bancaria(s) de la Sociedad de Activos Especiales S.A.S. – SAE en el exterior y/o para cambiarlas por el equivalente en pesos colombianos y su abono en la cuenta bancaria de la Sociedad de Activos Especiales S.A.S. – SAE en pesos colombianos.”</v>
          </cell>
          <cell r="I10">
            <v>43089</v>
          </cell>
          <cell r="J10">
            <v>45969</v>
          </cell>
          <cell r="K10" t="str">
            <v>FRISCO</v>
          </cell>
          <cell r="L10" t="str">
            <v xml:space="preserve">$ - </v>
          </cell>
          <cell r="M10">
            <v>2880</v>
          </cell>
          <cell r="N10" t="str">
            <v>N/A</v>
          </cell>
          <cell r="O10" t="str">
            <v xml:space="preserve">$ - </v>
          </cell>
          <cell r="P10" t="str">
            <v xml:space="preserve"> $ - </v>
          </cell>
          <cell r="Q10">
            <v>42</v>
          </cell>
          <cell r="R10">
            <v>2922</v>
          </cell>
          <cell r="S10">
            <v>46011</v>
          </cell>
          <cell r="T10" t="str">
            <v>VIGENTE</v>
          </cell>
          <cell r="U10" t="str">
            <v>NO</v>
          </cell>
          <cell r="V10" t="str">
            <v>DIRECCIÓN PARA LA DEMOCRATIZACIÓN DE ACTIVOS MUEBLES</v>
          </cell>
          <cell r="W10" t="str">
            <v>JOSE IGNACIO ALEMAN BUITRAGO</v>
          </cell>
        </row>
        <row r="11">
          <cell r="B11" t="str">
            <v>084-2017</v>
          </cell>
          <cell r="C11">
            <v>43080</v>
          </cell>
          <cell r="D11" t="str">
            <v>DEPARTAMENTO ADMINISTRATIVO DE LA PRESIDENCIA DE LA REPUBLICA - ALFONSO PRADA GIL</v>
          </cell>
          <cell r="E11">
            <v>79328670</v>
          </cell>
          <cell r="F11" t="str">
            <v>CONVENIO INTERADMINISTRATIVO</v>
          </cell>
          <cell r="G11" t="str">
            <v>CONTRATACION DIRECTA</v>
          </cell>
          <cell r="H11" t="str">
            <v xml:space="preserve">El objeto del presente contrato es establecer los derechos y obligaciones a cargo de la Presidencia de la Republica en calidad de DELEGANTE y de la SAE en calidad de DELEGATORIO de las funciones contenidas en el Articulo 3° del Decreto Ley 903 de 2017. </v>
          </cell>
          <cell r="I11">
            <v>43080</v>
          </cell>
          <cell r="J11">
            <v>45960</v>
          </cell>
          <cell r="K11" t="str">
            <v>SAE</v>
          </cell>
          <cell r="L11" t="str">
            <v xml:space="preserve">$ - </v>
          </cell>
          <cell r="M11">
            <v>2880</v>
          </cell>
          <cell r="N11" t="str">
            <v>N/A</v>
          </cell>
          <cell r="O11" t="str">
            <v xml:space="preserve">$ - </v>
          </cell>
          <cell r="P11" t="str">
            <v xml:space="preserve"> $ - </v>
          </cell>
          <cell r="Q11">
            <v>42</v>
          </cell>
          <cell r="R11">
            <v>2922</v>
          </cell>
          <cell r="S11">
            <v>46002</v>
          </cell>
          <cell r="T11" t="str">
            <v>VIGENTE</v>
          </cell>
          <cell r="U11" t="str">
            <v>NO</v>
          </cell>
          <cell r="V11" t="str">
            <v>VICEPRESIDENCIA CORPORATIVA</v>
          </cell>
          <cell r="W11">
            <v>0</v>
          </cell>
        </row>
        <row r="12">
          <cell r="B12" t="str">
            <v>002-2019</v>
          </cell>
          <cell r="C12">
            <v>43483</v>
          </cell>
          <cell r="D12" t="str">
            <v>SERVICIOS POSTALES NACIONALES S.A.</v>
          </cell>
          <cell r="E12" t="str">
            <v>900062917-9</v>
          </cell>
          <cell r="F12" t="str">
            <v>CONTRATO INTERADMINISTRATIVO</v>
          </cell>
          <cell r="G12" t="str">
            <v>CONTRATACION DIRECTA</v>
          </cell>
          <cell r="H12" t="str">
            <v>Prestar los servicios postales para la admisión, curso y entrega de correspondencia que requiera la Sociedad de Activos Especiales SAS</v>
          </cell>
          <cell r="I12">
            <v>43483</v>
          </cell>
          <cell r="J12">
            <v>43843</v>
          </cell>
          <cell r="K12" t="str">
            <v>SAE</v>
          </cell>
          <cell r="L12">
            <v>128000000</v>
          </cell>
          <cell r="M12">
            <v>360</v>
          </cell>
          <cell r="N12" t="str">
            <v>A-2-0-4-06-02</v>
          </cell>
          <cell r="O12">
            <v>710993000</v>
          </cell>
          <cell r="P12">
            <v>838993000</v>
          </cell>
          <cell r="Q12">
            <v>2256</v>
          </cell>
          <cell r="R12">
            <v>2616</v>
          </cell>
          <cell r="S12">
            <v>46099</v>
          </cell>
          <cell r="T12" t="str">
            <v>VIGENTE</v>
          </cell>
          <cell r="U12" t="str">
            <v>SI</v>
          </cell>
          <cell r="V12" t="str">
            <v>DIRECCIÓN ADMINISTRATIVA</v>
          </cell>
          <cell r="W12">
            <v>0</v>
          </cell>
        </row>
        <row r="13">
          <cell r="B13" t="str">
            <v>054-2019</v>
          </cell>
          <cell r="C13">
            <v>43644</v>
          </cell>
          <cell r="D13" t="str">
            <v>E&amp;M DESARROLLO CORPORATIVO LTDA</v>
          </cell>
          <cell r="E13" t="str">
            <v>900338878-6</v>
          </cell>
          <cell r="F13" t="str">
            <v>PRESTACIÓN DE SERVICIOS</v>
          </cell>
          <cell r="G13" t="str">
            <v>CONTRATACION ABREVIADA No. 03 DE 2019</v>
          </cell>
          <cell r="H13" t="str">
            <v>Prestación de servicios realizar estudio de seguridad aspirantes a conformar banco de hojas de vida vacantes planta de personal, así como, para las personas naturales y jurídicas que aspiren a formar parte del Registro de Depositarios Provisionales y Liquidadores de la SAE SAS y de aquellos que formen parte de éste cuando se requieran permanencia y/o renovación.</v>
          </cell>
          <cell r="I13">
            <v>43656</v>
          </cell>
          <cell r="J13">
            <v>44376</v>
          </cell>
          <cell r="K13" t="str">
            <v>SAE - FRISCO</v>
          </cell>
          <cell r="L13">
            <v>216800000</v>
          </cell>
          <cell r="M13">
            <v>720</v>
          </cell>
          <cell r="N13" t="str">
            <v>A-1-0-2-12-01</v>
          </cell>
          <cell r="O13">
            <v>427187512</v>
          </cell>
          <cell r="P13">
            <v>643987512</v>
          </cell>
          <cell r="Q13">
            <v>1677</v>
          </cell>
          <cell r="R13">
            <v>2397</v>
          </cell>
          <cell r="S13">
            <v>46053</v>
          </cell>
          <cell r="T13" t="str">
            <v>VIGENTE</v>
          </cell>
          <cell r="U13" t="str">
            <v>SI</v>
          </cell>
          <cell r="V13" t="str">
            <v>DIRECCIÓN DE TALENTO HUMANO</v>
          </cell>
          <cell r="W13">
            <v>0</v>
          </cell>
        </row>
        <row r="14">
          <cell r="B14" t="str">
            <v>068-2019</v>
          </cell>
          <cell r="C14">
            <v>43677</v>
          </cell>
          <cell r="D14" t="str">
            <v>UNION TEMPORAL ALMAGRARIO LT</v>
          </cell>
          <cell r="E14" t="str">
            <v>901306859-2</v>
          </cell>
          <cell r="F14" t="str">
            <v>PRESTACIÓN DE SERVICIOS</v>
          </cell>
          <cell r="G14" t="str">
            <v>CONCURSO PUBLICO 06 DE 2019</v>
          </cell>
          <cell r="H14" t="str">
            <v>Prestar el servicio de transporte, recepción, avalúo, almacenamiento, depósito, guarda, custodia, conservación, disposición final y demás servicios complementarios asociados a la administración de los bienes muebles que sean puestos a disposición de la Sociedad de Activos Especiales S.A.S. para la zona 5</v>
          </cell>
          <cell r="I14">
            <v>43709</v>
          </cell>
          <cell r="J14">
            <v>45149</v>
          </cell>
          <cell r="K14" t="str">
            <v>FRISCO</v>
          </cell>
          <cell r="L14">
            <v>3324275156</v>
          </cell>
          <cell r="M14">
            <v>1440</v>
          </cell>
          <cell r="N14" t="str">
            <v>A-8-3-9-03-01</v>
          </cell>
          <cell r="O14">
            <v>3985469395</v>
          </cell>
          <cell r="P14">
            <v>7309744551</v>
          </cell>
          <cell r="Q14">
            <v>658</v>
          </cell>
          <cell r="R14">
            <v>2098</v>
          </cell>
          <cell r="S14">
            <v>45807</v>
          </cell>
          <cell r="T14" t="str">
            <v>VIGENTE</v>
          </cell>
          <cell r="U14" t="str">
            <v>SI</v>
          </cell>
          <cell r="V14" t="str">
            <v>DIRECCIÓN PARA LA DEMOCRATIZACIÓN DE ACTIVOS MUEBLES</v>
          </cell>
          <cell r="W14" t="str">
            <v>JOSE IGNACIO ALEMAN BUITRAGO</v>
          </cell>
        </row>
        <row r="15">
          <cell r="D15" t="str">
            <v>CESIÓN - PARQUEADREOS PATIOS CEIBAS SAS</v>
          </cell>
          <cell r="E15" t="str">
            <v>900568105-8</v>
          </cell>
        </row>
        <row r="16">
          <cell r="B16" t="str">
            <v>037-2020</v>
          </cell>
          <cell r="C16">
            <v>43934</v>
          </cell>
          <cell r="D16" t="str">
            <v>LEON GRAFICAS SAS</v>
          </cell>
          <cell r="E16" t="str">
            <v>809012539-4</v>
          </cell>
          <cell r="F16" t="str">
            <v>PRESTACIÓN DE SERVICIOS</v>
          </cell>
          <cell r="G16" t="str">
            <v>CONTRATACION ABREVIADA 4 - 2020</v>
          </cell>
          <cell r="H16" t="str">
            <v>Contratar a través de una bolsa de productos los servicios de impresión offset, digital, pre-prensa, CTP o cualquier otro sistema de impresión, en diversos formatos, materiales (blandos y rígidos) y con acabados para ser entregados y/o instalados en todo el territorio nacional.</v>
          </cell>
          <cell r="I16">
            <v>43936</v>
          </cell>
          <cell r="J16">
            <v>44236</v>
          </cell>
          <cell r="K16" t="str">
            <v>SAE</v>
          </cell>
          <cell r="L16">
            <v>50000000</v>
          </cell>
          <cell r="M16">
            <v>300</v>
          </cell>
          <cell r="N16" t="str">
            <v>A-2-0-4-07-06</v>
          </cell>
          <cell r="O16">
            <v>464610338</v>
          </cell>
          <cell r="P16">
            <v>514610338</v>
          </cell>
          <cell r="Q16">
            <v>1602</v>
          </cell>
          <cell r="R16">
            <v>1902</v>
          </cell>
          <cell r="S16">
            <v>45838</v>
          </cell>
          <cell r="T16" t="str">
            <v>VIGENTE</v>
          </cell>
          <cell r="U16" t="str">
            <v>SI</v>
          </cell>
          <cell r="V16" t="str">
            <v>OFICINA DE PRENSA Y COMUNICACIONES</v>
          </cell>
          <cell r="W16" t="str">
            <v>ALEXANDER MENDEZ CORTES</v>
          </cell>
        </row>
        <row r="17">
          <cell r="B17" t="str">
            <v>051-2020</v>
          </cell>
          <cell r="C17">
            <v>43980</v>
          </cell>
          <cell r="D17" t="str">
            <v>FAMOC DEPANEL SA</v>
          </cell>
          <cell r="E17" t="str">
            <v>860033419-4</v>
          </cell>
          <cell r="F17" t="str">
            <v>ARRENDAMIENTO Y/O ADQUISICIÓN DE INMUEBLES</v>
          </cell>
          <cell r="G17" t="str">
            <v>CONTRATACION DIRECTA</v>
          </cell>
          <cell r="H17" t="str">
            <v>Arrendamiento de un inmueble en la ciudad de Barranquilla, para la reubicación de la Regional Norte que permita el adecuado desarrollo del objeto social y misional de la SOCIEDAD DE ACTIVOS ESPECIALES - SAE SAS</v>
          </cell>
          <cell r="I17">
            <v>44013</v>
          </cell>
          <cell r="J17">
            <v>44733</v>
          </cell>
          <cell r="K17" t="str">
            <v>SAE</v>
          </cell>
          <cell r="L17">
            <v>823384763</v>
          </cell>
          <cell r="M17">
            <v>720</v>
          </cell>
          <cell r="N17" t="str">
            <v>A-2-0-4-10-02</v>
          </cell>
          <cell r="O17">
            <v>1576321955</v>
          </cell>
          <cell r="P17">
            <v>2399706718</v>
          </cell>
          <cell r="Q17">
            <v>1197</v>
          </cell>
          <cell r="R17">
            <v>1917</v>
          </cell>
          <cell r="S17">
            <v>45930</v>
          </cell>
          <cell r="T17" t="str">
            <v>VIGENTE</v>
          </cell>
          <cell r="U17" t="str">
            <v>NO</v>
          </cell>
          <cell r="V17" t="str">
            <v>DIRECCIÓN ADMINISTRATIVA</v>
          </cell>
          <cell r="W17" t="str">
            <v>DIANA ROCÍO MARTÍNEZ CABRERA</v>
          </cell>
        </row>
        <row r="18">
          <cell r="B18" t="str">
            <v>066-2020</v>
          </cell>
          <cell r="C18">
            <v>44026</v>
          </cell>
          <cell r="D18" t="str">
            <v>ADSUM SOLUCIONES TECNOLOGICAS S.A.S</v>
          </cell>
          <cell r="E18" t="str">
            <v>900425697-2</v>
          </cell>
          <cell r="F18" t="str">
            <v>PRESTACIÓN DE SERVICIOS</v>
          </cell>
          <cell r="G18" t="str">
            <v>CONCURSO PUBLICO 03 de 2020</v>
          </cell>
          <cell r="H18" t="str">
            <v>Contratar el servicio de arriendo de computadores, periféricos y componentes de hardware y software, con soporte de primer nivel para la Sociedad de Activos Especiales SAS, de conformidad con los pliegos de condiciones del Concurso Público 3 de 2020, la propuesta presentada y el contrato.</v>
          </cell>
          <cell r="I18">
            <v>44041</v>
          </cell>
          <cell r="J18">
            <v>45141</v>
          </cell>
          <cell r="K18" t="str">
            <v>SAE</v>
          </cell>
          <cell r="L18">
            <v>1618560000</v>
          </cell>
          <cell r="M18">
            <v>1100</v>
          </cell>
          <cell r="N18" t="str">
            <v>A-2-0-4-10-01</v>
          </cell>
          <cell r="O18">
            <v>6804797830</v>
          </cell>
          <cell r="P18">
            <v>8423357830</v>
          </cell>
          <cell r="Q18">
            <v>779</v>
          </cell>
          <cell r="R18">
            <v>1879</v>
          </cell>
          <cell r="S18">
            <v>45920</v>
          </cell>
          <cell r="T18" t="str">
            <v>VIGENTE</v>
          </cell>
          <cell r="U18" t="str">
            <v>SI</v>
          </cell>
          <cell r="V18" t="str">
            <v>OFICINA DE TECNOLOGÍAS Y SISTEMAS DE INFORMACIÓN</v>
          </cell>
          <cell r="W18" t="str">
            <v xml:space="preserve">DIVEITH DIANA CRISTINA DAVILA GOMEZ </v>
          </cell>
        </row>
        <row r="19">
          <cell r="D19" t="str">
            <v xml:space="preserve">HEIMCORE SAS </v>
          </cell>
        </row>
        <row r="20">
          <cell r="B20" t="str">
            <v>086-2020</v>
          </cell>
          <cell r="C20">
            <v>44098</v>
          </cell>
          <cell r="D20" t="str">
            <v>UT SAE TECNOLOGIA</v>
          </cell>
          <cell r="E20" t="str">
            <v>901417168-8</v>
          </cell>
          <cell r="F20" t="str">
            <v>PRESTACIÓN DE SERVICIOS</v>
          </cell>
          <cell r="G20" t="str">
            <v>CONCURSO PUBLICO 4 - 2020</v>
          </cell>
          <cell r="H20" t="str">
            <v>Contratar la prestación de servicios de suministro, soporte, mantenimiento, arrendamiento y actualización de la plataforma telefónica para la Sociedad de Activos Especiales S.A.S., de conformidad con los pliegos de condiciones del Concurso Publico 4 de 2020, la propuesta presentada y el contrato.</v>
          </cell>
          <cell r="I20">
            <v>44131</v>
          </cell>
          <cell r="J20">
            <v>45211</v>
          </cell>
          <cell r="K20" t="str">
            <v>SAE</v>
          </cell>
          <cell r="L20">
            <v>617777777</v>
          </cell>
          <cell r="M20">
            <v>1080</v>
          </cell>
          <cell r="N20" t="str">
            <v>A-2-0-4-05-13</v>
          </cell>
          <cell r="O20">
            <v>370763862</v>
          </cell>
          <cell r="P20">
            <v>988541639</v>
          </cell>
          <cell r="Q20">
            <v>746</v>
          </cell>
          <cell r="R20">
            <v>1826</v>
          </cell>
          <cell r="S20">
            <v>45957</v>
          </cell>
          <cell r="T20" t="str">
            <v>VIGENTE</v>
          </cell>
          <cell r="U20" t="str">
            <v>SI</v>
          </cell>
          <cell r="V20" t="str">
            <v>OFICINA DE TECNOLOGÍAS Y SISTEMAS DE INFORMACIÓN</v>
          </cell>
          <cell r="W20" t="str">
            <v xml:space="preserve">DIVEITH DIANA CRISTINA DAVILA GOMEZ </v>
          </cell>
        </row>
        <row r="21">
          <cell r="B21" t="str">
            <v>014-2021</v>
          </cell>
          <cell r="C21">
            <v>44271</v>
          </cell>
          <cell r="D21" t="str">
            <v>TECNOLOGIA DE HARDWARE Y SOFTWARE PCTECHSOFT SAS</v>
          </cell>
          <cell r="E21" t="str">
            <v>900018297-4</v>
          </cell>
          <cell r="F21" t="str">
            <v>PRESTACIÓN DE SERVICIOS</v>
          </cell>
          <cell r="G21" t="str">
            <v>CONTRATACION DIRECTA</v>
          </cell>
          <cell r="H21" t="str">
            <v>Mantenimiento y soporte para las licencias del aplicativo de seguridad, PCsecure PCadmin</v>
          </cell>
          <cell r="I21">
            <v>44292</v>
          </cell>
          <cell r="J21">
            <v>45011</v>
          </cell>
          <cell r="K21" t="str">
            <v>SAE</v>
          </cell>
          <cell r="L21">
            <v>33667480</v>
          </cell>
          <cell r="M21">
            <v>719</v>
          </cell>
          <cell r="N21" t="str">
            <v>A-2-0-4-05-13</v>
          </cell>
          <cell r="O21">
            <v>58548000</v>
          </cell>
          <cell r="P21">
            <v>92215480</v>
          </cell>
          <cell r="Q21">
            <v>1106</v>
          </cell>
          <cell r="R21">
            <v>1825</v>
          </cell>
          <cell r="S21">
            <v>46117</v>
          </cell>
          <cell r="T21" t="str">
            <v>VIGENTE</v>
          </cell>
          <cell r="U21" t="str">
            <v>NO</v>
          </cell>
          <cell r="V21" t="str">
            <v>OFICINA DE TECNOLOGÍAS Y SISTEMAS DE INFORMACIÓN</v>
          </cell>
          <cell r="W21" t="str">
            <v xml:space="preserve">DIVEITH DIANA CRISTINA DAVILA GOMEZ </v>
          </cell>
        </row>
        <row r="22">
          <cell r="B22" t="str">
            <v>036-2021</v>
          </cell>
          <cell r="C22">
            <v>44383</v>
          </cell>
          <cell r="D22" t="str">
            <v>ORGANIZACIÓN TERPEL S.A.</v>
          </cell>
          <cell r="E22" t="str">
            <v>830095213-0</v>
          </cell>
          <cell r="F22" t="str">
            <v>COMPRAVENTA Y/O SUMINISTRO</v>
          </cell>
          <cell r="G22" t="str">
            <v>CONTRATACION DIRECTA</v>
          </cell>
          <cell r="H22" t="str">
            <v>Contratar el suministro de combustible para el parque automotor que presta el servicio a la Sociedad de Activos Especiales S.A.S.</v>
          </cell>
          <cell r="I22">
            <v>44389</v>
          </cell>
          <cell r="J22">
            <v>44569</v>
          </cell>
          <cell r="K22" t="str">
            <v>SAE</v>
          </cell>
          <cell r="L22">
            <v>55000000</v>
          </cell>
          <cell r="M22">
            <v>180</v>
          </cell>
          <cell r="N22" t="str">
            <v>A-2-0-4-04-01</v>
          </cell>
          <cell r="O22">
            <v>766511848</v>
          </cell>
          <cell r="P22">
            <v>821511848</v>
          </cell>
          <cell r="Q22">
            <v>1281</v>
          </cell>
          <cell r="R22">
            <v>1461</v>
          </cell>
          <cell r="S22">
            <v>45850</v>
          </cell>
          <cell r="T22" t="str">
            <v>VIGENTE</v>
          </cell>
          <cell r="U22" t="str">
            <v>SI</v>
          </cell>
          <cell r="V22" t="str">
            <v>DIRECCIÓN ADMINISTRATIVA</v>
          </cell>
          <cell r="W22">
            <v>0</v>
          </cell>
        </row>
        <row r="23">
          <cell r="B23" t="str">
            <v>040-2021</v>
          </cell>
          <cell r="C23">
            <v>44384</v>
          </cell>
          <cell r="D23" t="str">
            <v>SANTANDER CACEIS COLOMBIA S.A. SOCIEDAD FIDUCIARIA</v>
          </cell>
          <cell r="E23" t="str">
            <v>901108765-1</v>
          </cell>
          <cell r="F23" t="str">
            <v>PRESTACIÓN DE SERVICIOS</v>
          </cell>
          <cell r="G23" t="str">
            <v>CONCURSO PUBLICO 6 - 2021</v>
          </cell>
          <cell r="H23" t="str">
            <v>Contratar la custodia y salvaguarda de valores de los títulos valores del mercado local e internacional y recursos en dinero del portafolio de inversión administrado por la Sociedad de Activos Especiales S.A.S., así como la administración de valores y la compensación y liquidación de las operaciones realizadas sobre dichos valores, todo esto conforme los términos establecidos en la Parte 2, Libro 37 del Decreto 2555 de 2010, bajo los lineamientos del Decreto 1243 de 2013, el Decreto 1068 de 2015 y la Política Interna de Inversión, de conformidad con los pliegos de condiciones del Concurso Público 6 de 2021, la propuesta presentada y el contrato.</v>
          </cell>
          <cell r="I23">
            <v>44407</v>
          </cell>
          <cell r="J23">
            <v>45486</v>
          </cell>
          <cell r="K23" t="str">
            <v>FRISCO</v>
          </cell>
          <cell r="L23">
            <v>651394100</v>
          </cell>
          <cell r="M23">
            <v>1079</v>
          </cell>
          <cell r="N23" t="str">
            <v>A-2-0-4-22-03</v>
          </cell>
          <cell r="O23">
            <v>781000000</v>
          </cell>
          <cell r="P23">
            <v>1432394100</v>
          </cell>
          <cell r="Q23">
            <v>594</v>
          </cell>
          <cell r="R23">
            <v>1673</v>
          </cell>
          <cell r="S23">
            <v>46080</v>
          </cell>
          <cell r="T23" t="str">
            <v>VIGENTE</v>
          </cell>
          <cell r="U23" t="str">
            <v>SI</v>
          </cell>
          <cell r="V23" t="str">
            <v>DIRECCIÓN FINANCIERA</v>
          </cell>
          <cell r="W23" t="str">
            <v>JOHN ALBEYRO PEÑA CARREÑO</v>
          </cell>
        </row>
        <row r="24">
          <cell r="B24" t="str">
            <v>052-2021</v>
          </cell>
          <cell r="C24">
            <v>44417</v>
          </cell>
          <cell r="D24" t="str">
            <v>CONSORCIO BABILONIA 2021</v>
          </cell>
          <cell r="E24" t="str">
            <v>901506379-7</v>
          </cell>
          <cell r="F24" t="str">
            <v>PRESTACIÓN DE SERVICIOS</v>
          </cell>
          <cell r="G24" t="str">
            <v>CONCURSO PUBLICO 5 DE 2021</v>
          </cell>
          <cell r="H24" t="str">
            <v>Contratar la ejecución del PLAN DE RESTAURACION ECOLÓGICA con base en los resultados de estudios técnicos que determinan la recuperación morfológica topográfica y ambiental y que requieren la extracción, movilización, aprovechamiento de las zonas afectadas, así como la restauración y monitoreo del predio identificado con FMI N° 280-81449, denominado finca La Babilonia ubicado en la vereda La Popa del Municipio de La Tebaida, Quindío, de conformidad con los pliegos de condiciones del Concurso Público 5 de 2021, la propuesta presentada y el contrato</v>
          </cell>
          <cell r="I24">
            <v>44476</v>
          </cell>
          <cell r="J24">
            <v>45916</v>
          </cell>
          <cell r="K24" t="str">
            <v>FRISCO</v>
          </cell>
          <cell r="L24">
            <v>1405850385</v>
          </cell>
          <cell r="M24">
            <v>1440</v>
          </cell>
          <cell r="N24">
            <v>0</v>
          </cell>
          <cell r="O24">
            <v>1991521850</v>
          </cell>
          <cell r="P24">
            <v>3397372235</v>
          </cell>
          <cell r="Q24">
            <v>113</v>
          </cell>
          <cell r="R24">
            <v>1553</v>
          </cell>
          <cell r="S24">
            <v>46029</v>
          </cell>
          <cell r="T24" t="str">
            <v>VIGENTE</v>
          </cell>
          <cell r="U24" t="str">
            <v>SI</v>
          </cell>
          <cell r="V24" t="str">
            <v>DIRECCIÓN TERRITORIO OCCIDENTE</v>
          </cell>
          <cell r="W24" t="str">
            <v>LUIS MAURICIO URQUIJO TEJADA</v>
          </cell>
        </row>
        <row r="25">
          <cell r="B25" t="str">
            <v>084-2021</v>
          </cell>
          <cell r="C25">
            <v>44473</v>
          </cell>
          <cell r="D25" t="str">
            <v>FACTURE SAS</v>
          </cell>
          <cell r="E25" t="str">
            <v>900399741-7</v>
          </cell>
          <cell r="F25" t="str">
            <v>PRESTACIÓN DE SERVICIOS</v>
          </cell>
          <cell r="G25" t="str">
            <v>MINIMA CUANTIA 12 - 2021</v>
          </cell>
          <cell r="H25" t="str">
            <v>Prestar el servicio para la implementación de la resolución 0013 de 2021 para la nómina de la SAE SAS</v>
          </cell>
          <cell r="I25">
            <v>44488</v>
          </cell>
          <cell r="J25">
            <v>44848</v>
          </cell>
          <cell r="K25" t="str">
            <v>SAE</v>
          </cell>
          <cell r="L25">
            <v>4906306</v>
          </cell>
          <cell r="M25">
            <v>360</v>
          </cell>
          <cell r="N25" t="str">
            <v>A-2-0-4-10-03</v>
          </cell>
          <cell r="O25">
            <v>6230776</v>
          </cell>
          <cell r="P25">
            <v>11137082</v>
          </cell>
          <cell r="Q25">
            <v>1162</v>
          </cell>
          <cell r="R25">
            <v>1522</v>
          </cell>
          <cell r="S25">
            <v>46010</v>
          </cell>
          <cell r="T25" t="str">
            <v>VIGENTE</v>
          </cell>
          <cell r="U25" t="str">
            <v>NO</v>
          </cell>
          <cell r="V25" t="str">
            <v>DIRECCIÓN DE TALENTO HUMANO</v>
          </cell>
          <cell r="W25" t="str">
            <v>CARMEN NATALIA NIÑO JIMENEZ</v>
          </cell>
        </row>
        <row r="26">
          <cell r="B26" t="str">
            <v>085-2021</v>
          </cell>
          <cell r="C26">
            <v>44474</v>
          </cell>
          <cell r="D26" t="str">
            <v>LAVGO TECH SAS</v>
          </cell>
          <cell r="E26" t="str">
            <v>901313736-4</v>
          </cell>
          <cell r="F26" t="str">
            <v>PRESTACIÓN DE SERVICIOS</v>
          </cell>
          <cell r="G26" t="str">
            <v>MINIMA CUANTIA 10 - 2021</v>
          </cell>
          <cell r="H26" t="str">
            <v>Contratar la garantía extendida, mantenimiento preventivo, mantenimiento correctivo y soporte técnico para el sistema de almacenamiento en red (NAS) de la Entidad</v>
          </cell>
          <cell r="I26">
            <v>44481</v>
          </cell>
          <cell r="J26">
            <v>45200</v>
          </cell>
          <cell r="K26" t="str">
            <v>FRISCO</v>
          </cell>
          <cell r="L26">
            <v>53193000</v>
          </cell>
          <cell r="M26">
            <v>719</v>
          </cell>
          <cell r="N26" t="str">
            <v>A-2-0-4-05-13</v>
          </cell>
          <cell r="O26">
            <v>52550400</v>
          </cell>
          <cell r="P26">
            <v>105743400</v>
          </cell>
          <cell r="Q26">
            <v>743</v>
          </cell>
          <cell r="R26">
            <v>1462</v>
          </cell>
          <cell r="S26">
            <v>45943</v>
          </cell>
          <cell r="T26" t="str">
            <v>VIGENTE</v>
          </cell>
          <cell r="U26" t="str">
            <v>NO</v>
          </cell>
          <cell r="V26" t="str">
            <v>OFICINA DE TECNOLOGÍAS Y SISTEMAS DE INFORMACIÓN</v>
          </cell>
          <cell r="W26" t="str">
            <v xml:space="preserve">DIVEITH DIANA CRISTINA DAVILA GOMEZ </v>
          </cell>
        </row>
        <row r="27">
          <cell r="B27" t="str">
            <v>012-2022</v>
          </cell>
          <cell r="C27">
            <v>44589</v>
          </cell>
          <cell r="D27" t="str">
            <v>SUPERINTENDENCIA DE NOTARIADO Y REGISTRO</v>
          </cell>
          <cell r="E27" t="str">
            <v>899999007-0</v>
          </cell>
          <cell r="F27" t="str">
            <v>CONVENIO ADMINISTRATIVO</v>
          </cell>
          <cell r="G27" t="str">
            <v>CONTRATACIÓN DIRECTA</v>
          </cell>
          <cell r="H27" t="str">
            <v>Permitir a LA SOCIEDAD DE ACTIVOS ESPECIALES S.A.S -SAE S.A.S, la consulta vía Web de la información disponible en el sistema de información registral, de acuerdo con la tecnología e infraestructura con que cuenta la Superintendencia de Notariado y Registro, a través de los sistemas de información disponibles para tal fin; de conformidad con los niveles de servicio y confidencialidad que se concerté en desarrollo de este Acuerdo. De tal forma que dicha información puede ser consultada por: Número de folio de matrícula, número de documento de identidad, referencia catastral, cédula catastral y datos del propietario natural o jurídico. Los accesos estarán supeditados a la disponibilidad de los recursos con que cuente la Superintendencia de Notariado y Registro.</v>
          </cell>
          <cell r="I27">
            <v>44589</v>
          </cell>
          <cell r="J27">
            <v>46028</v>
          </cell>
          <cell r="K27" t="str">
            <v>FRISCO</v>
          </cell>
          <cell r="L27" t="str">
            <v xml:space="preserve">$ - </v>
          </cell>
          <cell r="M27">
            <v>1439</v>
          </cell>
          <cell r="N27" t="str">
            <v>N/A</v>
          </cell>
          <cell r="O27" t="str">
            <v xml:space="preserve">$ - </v>
          </cell>
          <cell r="P27" t="str">
            <v xml:space="preserve"> $ - </v>
          </cell>
          <cell r="Q27">
            <v>21</v>
          </cell>
          <cell r="R27">
            <v>1460</v>
          </cell>
          <cell r="S27">
            <v>46049</v>
          </cell>
          <cell r="T27" t="str">
            <v>VIGENTE</v>
          </cell>
          <cell r="U27" t="str">
            <v>NO</v>
          </cell>
          <cell r="V27" t="str">
            <v>DIRECCIÓN PARA LA DEMOCRATIZACIÓN DE ACTIVOS INMUEBLES URBANOS</v>
          </cell>
          <cell r="W27" t="str">
            <v xml:space="preserve">HEINER DE JESUS GAITAN PARRA </v>
          </cell>
        </row>
        <row r="28">
          <cell r="B28" t="str">
            <v>025-2022</v>
          </cell>
          <cell r="C28">
            <v>44608</v>
          </cell>
          <cell r="D28" t="str">
            <v>CONSORCIO ARCADOC</v>
          </cell>
          <cell r="E28" t="str">
            <v>901212632-3</v>
          </cell>
          <cell r="F28" t="str">
            <v>PRESTACIÓN DE SERVICIOS</v>
          </cell>
          <cell r="G28" t="str">
            <v>CONTRATACIÓN ABREVIADA 6 - 2021</v>
          </cell>
          <cell r="H28" t="str">
            <v>Contratar el servicio para el almacenamiento, conservación, custodia, prestamo y transporte de los acervos documentales del archivo central de acuerdo con las necesidades de la entidad</v>
          </cell>
          <cell r="I28">
            <v>44614</v>
          </cell>
          <cell r="J28">
            <v>45334</v>
          </cell>
          <cell r="K28" t="str">
            <v>SAE</v>
          </cell>
          <cell r="L28">
            <v>219000000</v>
          </cell>
          <cell r="M28">
            <v>720</v>
          </cell>
          <cell r="N28" t="str">
            <v>A-2-0-4-41-13</v>
          </cell>
          <cell r="O28" t="str">
            <v xml:space="preserve">$ - </v>
          </cell>
          <cell r="P28">
            <v>219000000</v>
          </cell>
          <cell r="Q28">
            <v>741</v>
          </cell>
          <cell r="R28">
            <v>1461</v>
          </cell>
          <cell r="S28">
            <v>46075</v>
          </cell>
          <cell r="T28" t="str">
            <v>VIGENTE</v>
          </cell>
          <cell r="U28" t="str">
            <v>SI</v>
          </cell>
          <cell r="V28" t="str">
            <v>DIRECCIÓN ADMINISTRATIVA</v>
          </cell>
          <cell r="W28">
            <v>0</v>
          </cell>
        </row>
        <row r="29">
          <cell r="B29" t="str">
            <v>031-2022</v>
          </cell>
          <cell r="C29">
            <v>44670</v>
          </cell>
          <cell r="D29" t="str">
            <v>SYGMA TECH SAS</v>
          </cell>
          <cell r="E29" t="str">
            <v>900886636-0</v>
          </cell>
          <cell r="F29" t="str">
            <v>PRESTACIÓN DE SERVICIOS</v>
          </cell>
          <cell r="G29" t="str">
            <v>CONCURSO PUBLICO 1 - 2022</v>
          </cell>
          <cell r="H29" t="str">
            <v>Contratar la prestación de servicio de un software para gestionar la facturación y administración de cartera y los contratos de arrendamiento, a cargo de la Sociedad de Activos Especiales SAE SAS, de conformidad con los pliegos de condiciones del Concurso Público 1 de 2022, la propuesta presentada y el contrato.</v>
          </cell>
          <cell r="I29">
            <v>44713</v>
          </cell>
          <cell r="J29">
            <v>45433</v>
          </cell>
          <cell r="K29" t="str">
            <v>FRISCO</v>
          </cell>
          <cell r="L29">
            <v>860560000</v>
          </cell>
          <cell r="M29">
            <v>720</v>
          </cell>
          <cell r="N29">
            <v>0</v>
          </cell>
          <cell r="O29" t="str">
            <v xml:space="preserve">$ - </v>
          </cell>
          <cell r="P29">
            <v>860560000</v>
          </cell>
          <cell r="Q29">
            <v>377</v>
          </cell>
          <cell r="R29">
            <v>1097</v>
          </cell>
          <cell r="S29">
            <v>45810</v>
          </cell>
          <cell r="T29" t="str">
            <v>VIGENTE</v>
          </cell>
          <cell r="U29" t="str">
            <v>SI</v>
          </cell>
          <cell r="V29" t="str">
            <v>OFICINA DE TECNOLOGIAS Y SISTEMAS DE INFORMACION -</v>
          </cell>
          <cell r="W29" t="str">
            <v xml:space="preserve">DIVEITH DIANA CRISTINA DAVILA GOMEZ </v>
          </cell>
        </row>
        <row r="30">
          <cell r="V30" t="str">
            <v>DIRECCIÓN COMERCIAL</v>
          </cell>
        </row>
        <row r="31">
          <cell r="B31" t="str">
            <v>046-2022</v>
          </cell>
          <cell r="C31">
            <v>44768</v>
          </cell>
          <cell r="D31" t="str">
            <v>FACTURE SAS</v>
          </cell>
          <cell r="E31" t="str">
            <v>900399741-7</v>
          </cell>
          <cell r="F31" t="str">
            <v>PRESTACIÓN DE SERVICIOS</v>
          </cell>
          <cell r="G31" t="str">
            <v>CONTRATACIÓN DIRECTA</v>
          </cell>
          <cell r="H31" t="str">
            <v>Contratar la prestación de servicios para la implementación y envío de las facturas electrónicas, notas y los documentos soporte a la DIAN y la integración con los diferentes sistemas de la SAE SAS, a través de un operador tecnológico autorizado por la Dirección de Impuestos y Aduanas Nacionales DIAN</v>
          </cell>
          <cell r="I31">
            <v>44775</v>
          </cell>
          <cell r="J31">
            <v>45135</v>
          </cell>
          <cell r="K31" t="str">
            <v>SAE</v>
          </cell>
          <cell r="L31">
            <v>39324000</v>
          </cell>
          <cell r="M31">
            <v>360</v>
          </cell>
          <cell r="N31" t="str">
            <v>A-2-0-4-05-13</v>
          </cell>
          <cell r="O31">
            <v>34771614</v>
          </cell>
          <cell r="P31">
            <v>74095614</v>
          </cell>
          <cell r="Q31">
            <v>736</v>
          </cell>
          <cell r="R31">
            <v>1096</v>
          </cell>
          <cell r="S31">
            <v>45871</v>
          </cell>
          <cell r="T31" t="str">
            <v>VIGENTE</v>
          </cell>
          <cell r="U31" t="str">
            <v>NO</v>
          </cell>
          <cell r="V31" t="str">
            <v>OFICINA DE TECNOLOGÍAS Y SISTEMAS DE INFORMACIÓN</v>
          </cell>
          <cell r="W31" t="str">
            <v xml:space="preserve">DIVEITH DIANA CRISTINA DAVILA GOMEZ </v>
          </cell>
        </row>
        <row r="32">
          <cell r="B32" t="str">
            <v>049-2022</v>
          </cell>
          <cell r="C32">
            <v>44778</v>
          </cell>
          <cell r="D32" t="str">
            <v>FAUSTO PIEDRAHITA R. E HIJOS LTDA</v>
          </cell>
          <cell r="E32" t="str">
            <v>890915538-7</v>
          </cell>
          <cell r="F32" t="str">
            <v>ARRENDAMIENTO Y/O ADQUISICIÓN</v>
          </cell>
          <cell r="G32" t="str">
            <v>CONTRATACIÓN DIRECTA</v>
          </cell>
          <cell r="H32" t="str">
            <v>Arrendar la oficina 803 Edificio Colinas del Poblado en la ciudad de Medellín para el adecuado desarrollo de las actividades administrativas y operativas de la Regional Occidente de la SOCIEDAD DE ACTIVOS ESPECIALES - SAE SAS</v>
          </cell>
          <cell r="I32">
            <v>44783</v>
          </cell>
          <cell r="J32">
            <v>45503</v>
          </cell>
          <cell r="K32" t="str">
            <v>SAE</v>
          </cell>
          <cell r="L32">
            <v>94179456</v>
          </cell>
          <cell r="M32">
            <v>720</v>
          </cell>
          <cell r="N32" t="str">
            <v>A-2-0-4-10-02</v>
          </cell>
          <cell r="O32">
            <v>70907227</v>
          </cell>
          <cell r="P32">
            <v>165086683</v>
          </cell>
          <cell r="Q32">
            <v>427</v>
          </cell>
          <cell r="R32">
            <v>1147</v>
          </cell>
          <cell r="S32">
            <v>45930</v>
          </cell>
          <cell r="T32" t="str">
            <v>VIGENTE</v>
          </cell>
          <cell r="U32" t="str">
            <v>NO</v>
          </cell>
          <cell r="V32" t="str">
            <v>DIRECCIÓN TERRITORIO OCCIDENTE</v>
          </cell>
          <cell r="W32" t="str">
            <v>LUIS MAURICIO URQUIJO TEJADA</v>
          </cell>
        </row>
        <row r="33">
          <cell r="B33" t="str">
            <v>062-2022</v>
          </cell>
          <cell r="C33">
            <v>44838</v>
          </cell>
          <cell r="D33" t="str">
            <v>UNIDAD DE FORMACION Y ANALISIS FINANCIERO - UIAF</v>
          </cell>
          <cell r="E33" t="str">
            <v>830068074-9</v>
          </cell>
          <cell r="F33" t="str">
            <v>CONVENIO INTERADMINISTRATIVO</v>
          </cell>
          <cell r="G33" t="str">
            <v>CONVENIO</v>
          </cell>
          <cell r="H33" t="str">
            <v>En virtud del presente convenio y con el animo de asegurar una amplia interacción entre las partes que fortalezca los mecanismos que coadyuven en la gestión del riesgo, prevención y detección oportuna de operaciones sospechosas o asociadas al lavado de activos y financiación del terrorismo, las partes aunaran esfuerzos para que en el ámbito de sus competencias, adelanten acciones conjuntas en pro de la recolección de información, vigilancia e investigación de las conductas de los depositarios, destinatarios, contratistas y trabajadores o colaboradores de la SAE SAS, en actos que tengan que ver con vinculos materiales directos o indirectos con presuntas operaciones de lavados de activos y financiación del terrorismo.</v>
          </cell>
          <cell r="I33">
            <v>44838</v>
          </cell>
          <cell r="J33">
            <v>46278</v>
          </cell>
          <cell r="K33" t="str">
            <v>FRISCO</v>
          </cell>
          <cell r="L33" t="str">
            <v xml:space="preserve">$ - </v>
          </cell>
          <cell r="M33">
            <v>1440</v>
          </cell>
          <cell r="N33" t="str">
            <v>N/A</v>
          </cell>
          <cell r="O33" t="str">
            <v xml:space="preserve">$ - </v>
          </cell>
          <cell r="P33" t="str">
            <v xml:space="preserve"> $ - </v>
          </cell>
          <cell r="Q33">
            <v>21</v>
          </cell>
          <cell r="R33">
            <v>1461</v>
          </cell>
          <cell r="S33">
            <v>46299</v>
          </cell>
          <cell r="T33" t="str">
            <v>VIGENTE</v>
          </cell>
          <cell r="U33" t="str">
            <v>NO</v>
          </cell>
          <cell r="V33" t="str">
            <v>DIRECCIÓN DE ASUNTOS LEGALES MISIONALES</v>
          </cell>
          <cell r="W33" t="str">
            <v xml:space="preserve">ANYI SHARLYN MARIN CAMARGO </v>
          </cell>
        </row>
        <row r="34">
          <cell r="B34" t="str">
            <v>064-2022</v>
          </cell>
          <cell r="C34">
            <v>44865</v>
          </cell>
          <cell r="D34" t="str">
            <v>BIG PASS SAS</v>
          </cell>
          <cell r="E34" t="str">
            <v>800112214-2</v>
          </cell>
          <cell r="F34" t="str">
            <v>ARRENDAMIENTO Y/O ADQUISICIÓN</v>
          </cell>
          <cell r="G34" t="str">
            <v>CONCURSO PUBLICO 11 - 2022</v>
          </cell>
          <cell r="H34" t="str">
            <v>Contratar la adquisición de tarjetas y/o bonos de alimentación para suministrar al personal que se encuentra en comisión de servicios o con autorización de desplazamiento al interior del país</v>
          </cell>
          <cell r="I34">
            <v>44922</v>
          </cell>
          <cell r="J34">
            <v>45342</v>
          </cell>
          <cell r="K34" t="str">
            <v>FRISCO</v>
          </cell>
          <cell r="L34">
            <v>725000000</v>
          </cell>
          <cell r="M34">
            <v>420</v>
          </cell>
          <cell r="N34" t="str">
            <v>A-2-0-4-11-01</v>
          </cell>
          <cell r="O34">
            <v>800000000</v>
          </cell>
          <cell r="P34">
            <v>1525000000</v>
          </cell>
          <cell r="Q34">
            <v>462</v>
          </cell>
          <cell r="R34">
            <v>882</v>
          </cell>
          <cell r="S34">
            <v>45804</v>
          </cell>
          <cell r="T34" t="str">
            <v>VIGENTE</v>
          </cell>
          <cell r="U34" t="str">
            <v>SI</v>
          </cell>
          <cell r="V34" t="str">
            <v>DIRECCIÓN ADMINISTRATIVA</v>
          </cell>
          <cell r="W34" t="str">
            <v>DIANA ROCÍO MARTÍNEZ CABRERA</v>
          </cell>
        </row>
        <row r="35">
          <cell r="B35" t="str">
            <v>017-2023</v>
          </cell>
          <cell r="C35">
            <v>45048</v>
          </cell>
          <cell r="D35" t="str">
            <v>PROMOTORA DE COMERCIO INMOBILIARIO S.A PROCOMERCIO S.A.</v>
          </cell>
          <cell r="E35" t="str">
            <v>830117735-1</v>
          </cell>
          <cell r="F35" t="str">
            <v>ARRENDAMIENTO  Y/O ADQUISICIONES</v>
          </cell>
          <cell r="G35" t="str">
            <v>CONTRATACIÓN DIRECTA</v>
          </cell>
          <cell r="H35" t="str">
            <v>Entregar, a título de arrendamiento, un inmueble funcional que brinde las condiciones técnicas y locativas para el adecuado desarrollo y funcionamiento de la sede principal de la Sociedad de Activos Especiales S.A.S., ubicada en la ciudad de Bogotá.</v>
          </cell>
          <cell r="I35">
            <v>45048</v>
          </cell>
          <cell r="J35">
            <v>46128</v>
          </cell>
          <cell r="K35" t="str">
            <v>SAE</v>
          </cell>
          <cell r="L35">
            <v>25378526397</v>
          </cell>
          <cell r="M35">
            <v>1080</v>
          </cell>
          <cell r="N35" t="str">
            <v>A-2-0-4-10-02</v>
          </cell>
          <cell r="O35">
            <v>2653952553</v>
          </cell>
          <cell r="P35">
            <v>28032478950</v>
          </cell>
          <cell r="Q35">
            <v>16</v>
          </cell>
          <cell r="R35">
            <v>1096</v>
          </cell>
          <cell r="S35">
            <v>46144</v>
          </cell>
          <cell r="T35" t="str">
            <v>VIGENTE</v>
          </cell>
          <cell r="U35" t="str">
            <v>SI</v>
          </cell>
          <cell r="V35" t="str">
            <v>DIRECCIÓN ADMINISTRATIVA</v>
          </cell>
          <cell r="W35" t="str">
            <v>ADRIANA MARIA TOLEDO PEÑA</v>
          </cell>
        </row>
        <row r="36">
          <cell r="N36" t="str">
            <v>A-2-0-4-05-01</v>
          </cell>
        </row>
        <row r="37">
          <cell r="B37" t="str">
            <v>022-2023</v>
          </cell>
          <cell r="C37">
            <v>45069</v>
          </cell>
          <cell r="D37" t="str">
            <v>SOCIEDAD TEQUENDAMA S.A. - HOTELERA TEQUENDAMA</v>
          </cell>
          <cell r="E37" t="str">
            <v>860006543-5</v>
          </cell>
          <cell r="F37" t="str">
            <v>CONVENIO INTERADMINISTRATIVO</v>
          </cell>
          <cell r="G37" t="str">
            <v>CONTRATACIÓN DIRECTA</v>
          </cell>
          <cell r="H37" t="str">
            <v xml:space="preserve">Aunar esfuerzos para el mejoramiento, desarrollo, optimización, gestión, administración, operación, comercialización y actualización de los activos que la SAE S.A.S. administra como propietaria o secuestre. </v>
          </cell>
          <cell r="I37">
            <v>45069</v>
          </cell>
          <cell r="J37">
            <v>47586</v>
          </cell>
          <cell r="K37" t="str">
            <v>FRISCO</v>
          </cell>
          <cell r="L37" t="str">
            <v xml:space="preserve">$ - </v>
          </cell>
          <cell r="M37">
            <v>2517</v>
          </cell>
          <cell r="N37" t="str">
            <v>N/A</v>
          </cell>
          <cell r="O37" t="str">
            <v xml:space="preserve">$ - </v>
          </cell>
          <cell r="P37" t="str">
            <v xml:space="preserve"> $ - </v>
          </cell>
          <cell r="Q37">
            <v>37</v>
          </cell>
          <cell r="R37">
            <v>2554</v>
          </cell>
          <cell r="S37">
            <v>47623</v>
          </cell>
          <cell r="T37" t="str">
            <v>VIGENTE</v>
          </cell>
          <cell r="U37" t="str">
            <v>NO</v>
          </cell>
          <cell r="V37" t="str">
            <v>VICEPRESIDENCIA DE SOCIEDADES</v>
          </cell>
          <cell r="W37" t="str">
            <v>JUAN FELIPE GARCIA PEREZ</v>
          </cell>
        </row>
        <row r="38">
          <cell r="B38" t="str">
            <v>046-2023</v>
          </cell>
          <cell r="C38">
            <v>45084</v>
          </cell>
          <cell r="D38" t="str">
            <v>FIDEICOMISOS SOCIEDAD FIDUCIARIA  - FIDUCOLDEX</v>
          </cell>
          <cell r="E38" t="str">
            <v>830054060-5</v>
          </cell>
          <cell r="F38" t="str">
            <v>CONVENIO INTERADMINISTRATIVO</v>
          </cell>
          <cell r="G38" t="str">
            <v>CONTRATACIÓN DIRECTA</v>
          </cell>
          <cell r="H38" t="str">
            <v>Aunar esfuerzos para el logro del cumplimiento de los programas que se desarrollen en el marco de la Política de Reindustrialización, mediante la coordinación de acciones conjuntas que permitan su materialización a través de acuerdos específicos que definan de manera concertada LAS PARTES</v>
          </cell>
          <cell r="I38">
            <v>45084</v>
          </cell>
          <cell r="J38">
            <v>46524</v>
          </cell>
          <cell r="K38" t="str">
            <v>FRISCO</v>
          </cell>
          <cell r="L38" t="str">
            <v xml:space="preserve">$ - </v>
          </cell>
          <cell r="M38">
            <v>1440</v>
          </cell>
          <cell r="N38" t="str">
            <v>N/A</v>
          </cell>
          <cell r="O38" t="str">
            <v xml:space="preserve">$ - </v>
          </cell>
          <cell r="P38" t="str">
            <v xml:space="preserve"> $ - </v>
          </cell>
          <cell r="Q38">
            <v>21</v>
          </cell>
          <cell r="R38">
            <v>1461</v>
          </cell>
          <cell r="S38">
            <v>46545</v>
          </cell>
          <cell r="T38" t="str">
            <v>VIGENTE</v>
          </cell>
          <cell r="U38" t="str">
            <v>NO</v>
          </cell>
          <cell r="V38" t="str">
            <v>DIRECCIÓN PROYECTOS</v>
          </cell>
          <cell r="W38" t="str">
            <v>FRANCIS CLARIZZA VARGAS DÍAZ</v>
          </cell>
        </row>
        <row r="39">
          <cell r="B39" t="str">
            <v>049-2023</v>
          </cell>
          <cell r="C39">
            <v>45098</v>
          </cell>
          <cell r="D39" t="str">
            <v>DIGITAL WARE SAS</v>
          </cell>
          <cell r="E39" t="str">
            <v>830042244-1</v>
          </cell>
          <cell r="F39" t="str">
            <v>PRESTACIÓN DE SERVICIOS</v>
          </cell>
          <cell r="G39" t="str">
            <v>CONTRATACIÓN DIRECTA</v>
          </cell>
          <cell r="H39" t="str">
            <v>Contratar la prestación del servicio de soporte y mantenimiento del sistema integrado para gestión financiera y administrativa tipo ERP (Enterprise Resource Planning) de la Sociedad de Activos Especiales SAE SAS</v>
          </cell>
          <cell r="I39">
            <v>45105</v>
          </cell>
          <cell r="J39">
            <v>45465</v>
          </cell>
          <cell r="K39" t="str">
            <v>SAE</v>
          </cell>
          <cell r="L39">
            <v>689528864</v>
          </cell>
          <cell r="M39">
            <v>360</v>
          </cell>
          <cell r="N39" t="str">
            <v>A-2-0-4-05-13</v>
          </cell>
          <cell r="O39">
            <v>857237924</v>
          </cell>
          <cell r="P39">
            <v>1546766788</v>
          </cell>
          <cell r="Q39">
            <v>370</v>
          </cell>
          <cell r="R39">
            <v>730</v>
          </cell>
          <cell r="S39">
            <v>45835</v>
          </cell>
          <cell r="T39" t="str">
            <v>VIGENTE</v>
          </cell>
          <cell r="U39" t="str">
            <v>SI</v>
          </cell>
          <cell r="V39" t="str">
            <v>OFICINA DE TECNOLOGÍAS Y SISTEMAS DE INFORMACIÓN</v>
          </cell>
          <cell r="W39" t="str">
            <v xml:space="preserve">DIVEITH DIANA CRISTINA DAVILA GOMEZ </v>
          </cell>
        </row>
        <row r="40">
          <cell r="B40" t="str">
            <v>054-2023</v>
          </cell>
          <cell r="C40">
            <v>45105</v>
          </cell>
          <cell r="D40" t="str">
            <v xml:space="preserve">UNIVERSIDAD DISTRITAL FRANCISCO JOSE DE CALDAS  </v>
          </cell>
          <cell r="E40" t="str">
            <v>899999230-7</v>
          </cell>
          <cell r="F40" t="str">
            <v>CONVENIO INTERADMINISTRATIVO</v>
          </cell>
          <cell r="G40" t="str">
            <v>CONTRATACIÓN DIRECTA</v>
          </cell>
          <cell r="H40" t="str">
            <v>Aunar esfuerzos con el fin de articular las funciones misionales de LA UNIVERSIDAD (Docencia, Investigación y Extensión) y el Plan Estratégico de la SAE en lo relacionado con desarrollo de cooperación académica, técnica, transferencia científica y tecnológica, gestión de proyectos conjuntos en temas de educación, investigación y extensión, así como la búsqueda de condiciones mínimas para garantizar la cobertura de los programas y proyectos de la Universidad y su posible ampliación</v>
          </cell>
          <cell r="I40">
            <v>45105</v>
          </cell>
          <cell r="J40">
            <v>46905</v>
          </cell>
          <cell r="K40" t="str">
            <v>FRISCO</v>
          </cell>
          <cell r="L40" t="str">
            <v xml:space="preserve">$ - </v>
          </cell>
          <cell r="M40">
            <v>1800</v>
          </cell>
          <cell r="N40" t="str">
            <v>N/A</v>
          </cell>
          <cell r="O40" t="str">
            <v xml:space="preserve">$ - </v>
          </cell>
          <cell r="P40" t="str">
            <v xml:space="preserve"> $ - </v>
          </cell>
          <cell r="Q40">
            <v>27</v>
          </cell>
          <cell r="R40">
            <v>1827</v>
          </cell>
          <cell r="S40">
            <v>46932</v>
          </cell>
          <cell r="T40" t="str">
            <v>VIGENTE</v>
          </cell>
          <cell r="U40" t="str">
            <v>SI</v>
          </cell>
          <cell r="V40" t="str">
            <v>VICEPRESIDENCIA DE SOCIEDADES</v>
          </cell>
          <cell r="W40" t="str">
            <v>JUAN FELIPE GARCIA PEREZ</v>
          </cell>
        </row>
        <row r="41">
          <cell r="B41" t="str">
            <v>059-2023</v>
          </cell>
          <cell r="C41">
            <v>45149</v>
          </cell>
          <cell r="D41" t="str">
            <v>FISCALÍA GENERAL DE LA NACIÓN</v>
          </cell>
          <cell r="E41" t="str">
            <v>800152783-2</v>
          </cell>
          <cell r="F41" t="str">
            <v>CONVENIO INTERADMINISTRATIVO</v>
          </cell>
          <cell r="G41" t="str">
            <v>CONTRATACIÓN DIRECTA</v>
          </cell>
          <cell r="H41" t="str">
            <v>Aunar esfuerzos institucionales y tecnológicos entre la SAE y la FISCALÍA para el intercambio ágil, seguro y confidencial de la información que requieran de los sistemas relacionados con el proceso de extinción de dominio con los que cuenten las partes en el marco de sus competencias, para el cumplimiento de sus funciones constitucionales y legales</v>
          </cell>
          <cell r="I41">
            <v>45149</v>
          </cell>
          <cell r="J41">
            <v>46589</v>
          </cell>
          <cell r="K41" t="str">
            <v>SAE</v>
          </cell>
          <cell r="L41" t="str">
            <v xml:space="preserve">$ - </v>
          </cell>
          <cell r="M41">
            <v>1440</v>
          </cell>
          <cell r="N41" t="str">
            <v>N/A</v>
          </cell>
          <cell r="O41" t="str">
            <v xml:space="preserve">$ - </v>
          </cell>
          <cell r="P41" t="str">
            <v xml:space="preserve"> $ - </v>
          </cell>
          <cell r="Q41">
            <v>21</v>
          </cell>
          <cell r="R41">
            <v>1461</v>
          </cell>
          <cell r="S41">
            <v>46610</v>
          </cell>
          <cell r="T41" t="str">
            <v>VIGENTE</v>
          </cell>
          <cell r="U41" t="str">
            <v>NO</v>
          </cell>
          <cell r="V41" t="str">
            <v>OFICINA DE TECNOLOGÍAS Y SISTEMAS DE INFORMACIÓN</v>
          </cell>
          <cell r="W41" t="str">
            <v xml:space="preserve">DIVEITH DIANA CRISTINA DAVILA GOMEZ </v>
          </cell>
        </row>
        <row r="42">
          <cell r="B42" t="str">
            <v>072-2023</v>
          </cell>
          <cell r="C42">
            <v>45148</v>
          </cell>
          <cell r="D42" t="str">
            <v>CONSULTORES EN INFORMACIÓN INFOMETRIKA SAS</v>
          </cell>
          <cell r="E42" t="str">
            <v>900196555-1</v>
          </cell>
          <cell r="F42" t="str">
            <v>PRESTACIÓN DE SERVICIOS</v>
          </cell>
          <cell r="G42" t="str">
            <v>CONTRATACION ABREVIADA 2-2023</v>
          </cell>
          <cell r="H42" t="str">
            <v>Contratar la prestación de servicios para realizar el mantenimiento y soporte funcional y técnico del Sistema de Gestión Documental Orfeo de la SAE, incluyendo actualizaciones, integración con los sistemas misionales de la SAE SAS y construcción de las funcionalidades que sean requeridas, garantizando la seguridad de la información, de conformidad con los términos de referencia del proceso de contratación abreviada No.2 de 2023, la propuesta presentada y el contrato</v>
          </cell>
          <cell r="I42">
            <v>45166</v>
          </cell>
          <cell r="J42">
            <v>45526</v>
          </cell>
          <cell r="K42" t="str">
            <v>FRISCO</v>
          </cell>
          <cell r="L42">
            <v>422146550</v>
          </cell>
          <cell r="M42">
            <v>360</v>
          </cell>
          <cell r="N42" t="str">
            <v>A-2-0-4-05-13</v>
          </cell>
          <cell r="O42">
            <v>256975144</v>
          </cell>
          <cell r="P42">
            <v>679121694</v>
          </cell>
          <cell r="Q42">
            <v>401</v>
          </cell>
          <cell r="R42">
            <v>761</v>
          </cell>
          <cell r="S42">
            <v>45927</v>
          </cell>
          <cell r="T42" t="str">
            <v>VIGENTE</v>
          </cell>
          <cell r="U42" t="str">
            <v>SI</v>
          </cell>
          <cell r="V42" t="str">
            <v>OFICINA DE TECNOLOGÍAS Y SISTEMAS DE INFORMACIÓN</v>
          </cell>
          <cell r="W42" t="str">
            <v xml:space="preserve">DIVEITH DIANA CRISTINA DAVILA GOMEZ </v>
          </cell>
        </row>
        <row r="43">
          <cell r="B43" t="str">
            <v>079-2023</v>
          </cell>
          <cell r="C43">
            <v>45162</v>
          </cell>
          <cell r="D43" t="str">
            <v xml:space="preserve">WIRELESS COMPANY S.A.S. </v>
          </cell>
          <cell r="E43" t="str">
            <v>900298459-0</v>
          </cell>
          <cell r="F43" t="str">
            <v>PRESTACIÓN DE SERVICIOS</v>
          </cell>
          <cell r="G43" t="str">
            <v>CONTRATACIÓN DIRECTA</v>
          </cell>
          <cell r="H43" t="str">
            <v>Contratar el arrendamiento e implementación de un sistema biométrico para el control de acceso y registro del personal vinculado a la entidad en las sedes de la Sociedad de Activos Especiales SAE SAS que requieran de este servicio</v>
          </cell>
          <cell r="I43">
            <v>45170</v>
          </cell>
          <cell r="J43">
            <v>45890</v>
          </cell>
          <cell r="K43" t="str">
            <v>SAE</v>
          </cell>
          <cell r="L43">
            <v>157991949</v>
          </cell>
          <cell r="M43">
            <v>720</v>
          </cell>
          <cell r="N43" t="str">
            <v>A-2-0-4-10-13</v>
          </cell>
          <cell r="O43" t="str">
            <v xml:space="preserve">$ - </v>
          </cell>
          <cell r="P43">
            <v>157991949</v>
          </cell>
          <cell r="Q43">
            <v>10</v>
          </cell>
          <cell r="R43">
            <v>730</v>
          </cell>
          <cell r="S43">
            <v>45900</v>
          </cell>
          <cell r="T43" t="str">
            <v>VIGENTE</v>
          </cell>
          <cell r="U43" t="str">
            <v>SI</v>
          </cell>
          <cell r="V43" t="str">
            <v>DIRECCIÓN ADMINISTRATIVA</v>
          </cell>
          <cell r="W43" t="str">
            <v>VALENTINA VASQUEZ SANCHEZ</v>
          </cell>
        </row>
        <row r="44">
          <cell r="B44" t="str">
            <v>138-2023</v>
          </cell>
          <cell r="C44">
            <v>45189</v>
          </cell>
          <cell r="D44" t="str">
            <v>FEDERACION NACIONAL DE SORDOS DE COLOMBIA - FENASCOL</v>
          </cell>
          <cell r="E44" t="str">
            <v>860528224-0</v>
          </cell>
          <cell r="F44" t="str">
            <v>PRESTACIÓN DE SERVICIOS</v>
          </cell>
          <cell r="G44" t="str">
            <v>CONTRATACIÓN DIRECTA</v>
          </cell>
          <cell r="H44" t="str">
            <v>Prestar los servicios de interpretación de lengua de señas colombiana – español, como mecanismo para apoyar el acceso a la comunicación y la información de la población con discapacidad auditiva, aportando así al cumplimiento de la Ley 1618 del 2013.</v>
          </cell>
          <cell r="I44">
            <v>45202</v>
          </cell>
          <cell r="J44">
            <v>45562</v>
          </cell>
          <cell r="K44" t="str">
            <v>SAE</v>
          </cell>
          <cell r="L44">
            <v>61164500</v>
          </cell>
          <cell r="M44">
            <v>360</v>
          </cell>
          <cell r="N44" t="str">
            <v>A-1-0-2-12-01</v>
          </cell>
          <cell r="O44">
            <v>52970447</v>
          </cell>
          <cell r="P44">
            <v>114134947</v>
          </cell>
          <cell r="Q44">
            <v>248</v>
          </cell>
          <cell r="R44">
            <v>608</v>
          </cell>
          <cell r="S44">
            <v>45810</v>
          </cell>
          <cell r="T44" t="str">
            <v>VIGENTE</v>
          </cell>
          <cell r="U44" t="str">
            <v>NO</v>
          </cell>
          <cell r="V44" t="str">
            <v>DIRECCIÓN DE TALENTO HUMANO</v>
          </cell>
          <cell r="W44" t="str">
            <v>IVETH SUSANA AYALA RODRIGUEZ</v>
          </cell>
        </row>
        <row r="45">
          <cell r="B45" t="str">
            <v>198-2023</v>
          </cell>
          <cell r="C45">
            <v>45180</v>
          </cell>
          <cell r="D45" t="str">
            <v>BMIND SAS</v>
          </cell>
          <cell r="E45" t="str">
            <v>900105979 -1</v>
          </cell>
          <cell r="F45" t="str">
            <v>ARRENDAMIENTO  Y/O ADQUISICIONES</v>
          </cell>
          <cell r="G45" t="str">
            <v>CONTRATACION ABREVIADA 4-2023</v>
          </cell>
          <cell r="H45" t="str">
            <v>Contratar la renovación de las licencias de Red Hat para la Sociedad de Activos Especiales, incluyendo capacitaciones y bolsa de horas y/o créditos para desarrollar nuevas rutas de integración. De conformidad con el Proceso de Selección Abreviada No. 4 de 2023</v>
          </cell>
          <cell r="I45">
            <v>45188</v>
          </cell>
          <cell r="J45">
            <v>45548</v>
          </cell>
          <cell r="K45" t="str">
            <v>FRISCO</v>
          </cell>
          <cell r="L45">
            <v>532150983</v>
          </cell>
          <cell r="M45">
            <v>360</v>
          </cell>
          <cell r="N45" t="str">
            <v>A-2-0-4-05-13</v>
          </cell>
          <cell r="O45">
            <v>240332400</v>
          </cell>
          <cell r="P45">
            <v>772483383</v>
          </cell>
          <cell r="Q45">
            <v>371</v>
          </cell>
          <cell r="R45">
            <v>731</v>
          </cell>
          <cell r="S45">
            <v>45919</v>
          </cell>
          <cell r="T45" t="str">
            <v>VIGENTE</v>
          </cell>
          <cell r="U45" t="str">
            <v>SI</v>
          </cell>
          <cell r="V45" t="str">
            <v>OFICINA DE TECNOLOGÍAS Y SISTEMAS DE INFORMACIÓN</v>
          </cell>
          <cell r="W45" t="str">
            <v xml:space="preserve">DIVEITH DIANA CRISTINA DAVILA GOMEZ </v>
          </cell>
        </row>
        <row r="46">
          <cell r="B46" t="str">
            <v>258-2023</v>
          </cell>
          <cell r="C46">
            <v>45203</v>
          </cell>
          <cell r="D46" t="str">
            <v>COMERCIALIZADORA VINARTA SAS</v>
          </cell>
          <cell r="E46" t="str">
            <v>800209890-1</v>
          </cell>
          <cell r="F46" t="str">
            <v>PRESTACIÓN DE SERVICIOS</v>
          </cell>
          <cell r="G46" t="str">
            <v>CONTRATACIÓN DIRECTA</v>
          </cell>
          <cell r="H46" t="str">
            <v>Suministrar insumos y materiales de papelería, útiles de escritorio, equipos de oficina elementos tecnológicos y productos ocasionales, para el normal funcionamiento de la Sociedad de Activos Especiales S.A.S</v>
          </cell>
          <cell r="I46">
            <v>45223</v>
          </cell>
          <cell r="J46">
            <v>45943</v>
          </cell>
          <cell r="K46" t="str">
            <v>FRISCO</v>
          </cell>
          <cell r="L46">
            <v>418446264</v>
          </cell>
          <cell r="M46">
            <v>720</v>
          </cell>
          <cell r="N46" t="str">
            <v>A-2-0-4-04-15</v>
          </cell>
          <cell r="O46" t="str">
            <v xml:space="preserve">$ - </v>
          </cell>
          <cell r="P46">
            <v>418446264</v>
          </cell>
          <cell r="Q46">
            <v>11</v>
          </cell>
          <cell r="R46">
            <v>731</v>
          </cell>
          <cell r="S46">
            <v>45954</v>
          </cell>
          <cell r="T46" t="str">
            <v>VIGENTE</v>
          </cell>
          <cell r="U46" t="str">
            <v>SI</v>
          </cell>
          <cell r="V46" t="str">
            <v>DIRECCIÓN ADMINISTRATIVA</v>
          </cell>
          <cell r="W46" t="str">
            <v>VALENTINA VASQUEZ SANCHEZ</v>
          </cell>
        </row>
        <row r="47">
          <cell r="B47" t="str">
            <v>296-2023</v>
          </cell>
          <cell r="C47">
            <v>45239</v>
          </cell>
          <cell r="D47" t="str">
            <v>MAGIN COMUNICACIONES SAS</v>
          </cell>
          <cell r="E47" t="str">
            <v>830042365-4</v>
          </cell>
          <cell r="F47" t="str">
            <v>PRESTACIÓN DE SERVICIOS</v>
          </cell>
          <cell r="G47" t="str">
            <v>CONTRATACION ABREVIADA 06-2023</v>
          </cell>
          <cell r="H47" t="str">
            <v>Proceso de selección Abreviada No 06 de 2023 cuyo objeto es “Contratar la prestación del servicio integral de acuerdo con los requerimientos de la Sociedad de Activos Especiales SAS, para que dentro de una bolsa de productos preste el servicio de apoyo operativo y logístico conforme las condiciones, alcance y características definidas en los términos de referencia.”</v>
          </cell>
          <cell r="I47">
            <v>45252</v>
          </cell>
          <cell r="J47">
            <v>45492</v>
          </cell>
          <cell r="K47" t="str">
            <v>SAE-FRISCO</v>
          </cell>
          <cell r="L47">
            <v>351850000</v>
          </cell>
          <cell r="M47">
            <v>240</v>
          </cell>
          <cell r="N47" t="str">
            <v>A-1-0-2-12-01</v>
          </cell>
          <cell r="O47">
            <v>1754950432</v>
          </cell>
          <cell r="P47">
            <v>2106800432</v>
          </cell>
          <cell r="Q47">
            <v>346</v>
          </cell>
          <cell r="R47">
            <v>586</v>
          </cell>
          <cell r="S47">
            <v>45838</v>
          </cell>
          <cell r="T47" t="str">
            <v>VIGENTE</v>
          </cell>
          <cell r="U47" t="str">
            <v>SI</v>
          </cell>
          <cell r="V47" t="str">
            <v>OFICINA DE PRENSA Y COMUNICACIONES</v>
          </cell>
          <cell r="W47" t="str">
            <v>ALEXANDER MENDEZ CORTES</v>
          </cell>
        </row>
        <row r="48">
          <cell r="B48" t="str">
            <v>014-2024</v>
          </cell>
          <cell r="C48">
            <v>45364</v>
          </cell>
          <cell r="D48" t="str">
            <v>FUNDACIÓN CENTRO COLOMBIANO DE ESTUDIOS PROFESIONALES - FCECEP</v>
          </cell>
          <cell r="E48" t="str">
            <v>890327446-5</v>
          </cell>
          <cell r="F48" t="str">
            <v>PRESTACIÓN DE SERVICIOS</v>
          </cell>
          <cell r="G48" t="str">
            <v>CONTRATACIÓN DIRECTA</v>
          </cell>
          <cell r="H48" t="str">
            <v>Prestar los servicios de educación superior en los programas Técnicos Laborales ofertados por la FCECEP, para el desarrollo de actividades tendientes a contribuir al propósito nacional de la paz total a través de la socialización e inclusión educativa de Jóvenes residentes del Valle del Cauca en condiciones de vulnerabilidad</v>
          </cell>
          <cell r="I48">
            <v>45397</v>
          </cell>
          <cell r="J48">
            <v>46491</v>
          </cell>
          <cell r="K48" t="str">
            <v>SAE</v>
          </cell>
          <cell r="L48">
            <v>190000000</v>
          </cell>
          <cell r="M48">
            <v>1080</v>
          </cell>
          <cell r="N48" t="str">
            <v>A-2-0-4-21-04</v>
          </cell>
          <cell r="O48">
            <v>374350000</v>
          </cell>
          <cell r="P48">
            <v>564350000</v>
          </cell>
          <cell r="Q48">
            <v>0</v>
          </cell>
          <cell r="R48">
            <v>1094</v>
          </cell>
          <cell r="S48">
            <v>46491</v>
          </cell>
          <cell r="T48" t="str">
            <v>VIGENTE</v>
          </cell>
          <cell r="U48">
            <v>0</v>
          </cell>
          <cell r="V48" t="str">
            <v>VICEPRESIDENCIA CORPORATIVA</v>
          </cell>
          <cell r="W48" t="str">
            <v>VALENTINA VASQUEZ SANCHEZ</v>
          </cell>
        </row>
        <row r="49">
          <cell r="B49" t="str">
            <v>034-2024</v>
          </cell>
          <cell r="C49">
            <v>45366</v>
          </cell>
          <cell r="D49" t="str">
            <v>AGENCIA NACIONAL DE TIERRAS - ANT</v>
          </cell>
          <cell r="E49" t="str">
            <v>900948953-8</v>
          </cell>
          <cell r="F49" t="str">
            <v>CONVENIO INTERADMINISTRATIVO</v>
          </cell>
          <cell r="G49" t="str">
            <v>CONVENIO</v>
          </cell>
          <cell r="H49" t="str">
            <v>Aunar esfuerzos interinstitucionales entre la AGENCIA NACIONAL DE TIERRAS ANT y la SOCIEDAD DE ACTIVOS ESPECIALES S.A.S SAE con el fin de articular acciones que permitan establecer los términos y condiciones que van a regir la compra y transferencia de tierras del FRISCO a la Agencia Nacional de Tierras.</v>
          </cell>
          <cell r="I49">
            <v>45366</v>
          </cell>
          <cell r="J49">
            <v>46220</v>
          </cell>
          <cell r="K49" t="str">
            <v>SAE</v>
          </cell>
          <cell r="L49" t="str">
            <v xml:space="preserve">$ - </v>
          </cell>
          <cell r="M49">
            <v>855</v>
          </cell>
          <cell r="N49" t="str">
            <v>N/A</v>
          </cell>
          <cell r="O49" t="str">
            <v xml:space="preserve">$ - </v>
          </cell>
          <cell r="P49" t="str">
            <v xml:space="preserve"> $ - </v>
          </cell>
          <cell r="Q49">
            <v>13</v>
          </cell>
          <cell r="R49">
            <v>867</v>
          </cell>
          <cell r="S49">
            <v>46233</v>
          </cell>
          <cell r="T49" t="str">
            <v>VIGENTE</v>
          </cell>
          <cell r="U49">
            <v>0</v>
          </cell>
          <cell r="V49" t="str">
            <v>VICEPRESIDENCIA DE ACTIVOS MUEBLES E INMUEBLES</v>
          </cell>
          <cell r="W49">
            <v>0</v>
          </cell>
        </row>
        <row r="50">
          <cell r="B50" t="str">
            <v>044-2024</v>
          </cell>
          <cell r="C50">
            <v>45407</v>
          </cell>
          <cell r="D50" t="str">
            <v>CENTRAL DE INVERSIONES S.A. - CISA S.A.</v>
          </cell>
          <cell r="E50" t="str">
            <v>860042945-5</v>
          </cell>
          <cell r="F50" t="str">
            <v>CONVENIO INTERADMINISTRATIVO</v>
          </cell>
          <cell r="G50" t="str">
            <v>CONTRATACIÓN DIRECTA</v>
          </cell>
          <cell r="H50" t="str">
            <v>Prestar servicios para la comercialización y venta de inmuebles administrados por la SAE, de acuerdo con el alcance definido en el presente contrato.</v>
          </cell>
          <cell r="I50">
            <v>45447</v>
          </cell>
          <cell r="J50">
            <v>45811</v>
          </cell>
          <cell r="K50" t="str">
            <v>FRISCO</v>
          </cell>
          <cell r="L50">
            <v>396211109</v>
          </cell>
          <cell r="M50">
            <v>359</v>
          </cell>
          <cell r="N50" t="str">
            <v>N/A</v>
          </cell>
          <cell r="O50" t="str">
            <v xml:space="preserve">$ - </v>
          </cell>
          <cell r="P50">
            <v>396211109</v>
          </cell>
          <cell r="Q50">
            <v>0</v>
          </cell>
          <cell r="R50">
            <v>364</v>
          </cell>
          <cell r="S50">
            <v>45811</v>
          </cell>
          <cell r="T50" t="str">
            <v>VIGENTE</v>
          </cell>
          <cell r="U50" t="str">
            <v>SI</v>
          </cell>
          <cell r="V50" t="str">
            <v>DIRECCIÓN COMERCIAL</v>
          </cell>
          <cell r="W50" t="str">
            <v xml:space="preserve">SANTIAGO CASTAÑO SALAS </v>
          </cell>
        </row>
        <row r="51">
          <cell r="B51" t="str">
            <v>058-2024</v>
          </cell>
          <cell r="C51">
            <v>45429</v>
          </cell>
          <cell r="D51" t="str">
            <v>MULTIPLES TECNOLOGIAS APLICADAS DE COLOMBIA SAS</v>
          </cell>
          <cell r="E51" t="str">
            <v>830060238-3</v>
          </cell>
          <cell r="F51" t="str">
            <v>PRESTACIÓN DE SERVICIOS</v>
          </cell>
          <cell r="G51" t="str">
            <v>CONTRATACIÓN ABREVIADA 1-2024</v>
          </cell>
          <cell r="H51" t="str">
            <v>Contratar la prestación del servicio del cableado estructurado y eléctrico, así como la adquisición, el soporte y el mantenimiento preventivo y correctivo sobre las UPS que se tiene en uso la SAE SAS y las que se puedan adquirir conforme lo establecido en el proceso de Contratación Abreviada No.01 de 2024, la propuesta presentada y el contrato.</v>
          </cell>
          <cell r="I51">
            <v>45434</v>
          </cell>
          <cell r="J51">
            <v>46152</v>
          </cell>
          <cell r="K51" t="str">
            <v>FRISCO</v>
          </cell>
          <cell r="L51">
            <v>329819548</v>
          </cell>
          <cell r="M51">
            <v>719</v>
          </cell>
          <cell r="N51" t="str">
            <v>A-2-0-4-05-14</v>
          </cell>
          <cell r="O51" t="str">
            <v xml:space="preserve">$ - </v>
          </cell>
          <cell r="P51">
            <v>329819548</v>
          </cell>
          <cell r="Q51">
            <v>11</v>
          </cell>
          <cell r="R51">
            <v>729</v>
          </cell>
          <cell r="S51">
            <v>46163</v>
          </cell>
          <cell r="T51" t="str">
            <v>VIGENTE</v>
          </cell>
          <cell r="U51">
            <v>0</v>
          </cell>
          <cell r="V51" t="str">
            <v>OFICINA DE TECNOLOGÍAS Y SISTEMAS DE INFORMACIÓN</v>
          </cell>
          <cell r="W51" t="str">
            <v xml:space="preserve">DIVEITH DIANA CRISTINA DAVILA GOMEZ </v>
          </cell>
        </row>
        <row r="52">
          <cell r="B52" t="str">
            <v>059-2024</v>
          </cell>
          <cell r="C52">
            <v>45415</v>
          </cell>
          <cell r="D52" t="str">
            <v>COMPAÑÍA MUNDIAL DE SEGUROS</v>
          </cell>
          <cell r="E52" t="str">
            <v>860037013-6</v>
          </cell>
          <cell r="F52" t="str">
            <v>PRESTACIÓN DE SERVICIOS</v>
          </cell>
          <cell r="G52" t="str">
            <v>CONCURSO PUBLICO 02 - 2024</v>
          </cell>
          <cell r="H52" t="str">
            <v>Seleccionar propuesta para contratar con una o varias compañías de seguros legalmente autorizadas para funcionar en el país, el programa de seguros requerido para la adecuada protección de los bienes, personas e Intereses patrimoniales de la SOCIEDAD DE ACTIVOS ESPECIALES SAE S.A.S, así como de aquellos por los que sea o fuere legalmente responsable o le corresponda Asegurar en virtud de disposición legal o contractual, poliza de INFIDELIDAD DE RIESGOS FINANCIEROS</v>
          </cell>
          <cell r="I52">
            <v>45415</v>
          </cell>
          <cell r="J52">
            <v>45906</v>
          </cell>
          <cell r="K52" t="str">
            <v>SAE</v>
          </cell>
          <cell r="L52">
            <v>192791900</v>
          </cell>
          <cell r="M52">
            <v>492</v>
          </cell>
          <cell r="N52" t="str">
            <v>A-2-0-4-09-05</v>
          </cell>
          <cell r="O52" t="str">
            <v xml:space="preserve">$ - </v>
          </cell>
          <cell r="P52">
            <v>192791900</v>
          </cell>
          <cell r="Q52">
            <v>9</v>
          </cell>
          <cell r="R52">
            <v>500</v>
          </cell>
          <cell r="S52">
            <v>45915</v>
          </cell>
          <cell r="T52" t="str">
            <v>VIGENTE</v>
          </cell>
          <cell r="U52">
            <v>0</v>
          </cell>
          <cell r="V52" t="str">
            <v>DIRECCIÓN ADMINISTRATIVA</v>
          </cell>
          <cell r="W52" t="str">
            <v>ADRIANA MARIA TOLEDO PEÑA</v>
          </cell>
        </row>
        <row r="53">
          <cell r="B53" t="str">
            <v>060-2024</v>
          </cell>
          <cell r="C53">
            <v>45429</v>
          </cell>
          <cell r="D53" t="str">
            <v>COASEGURO - CHUBB SEGUROS COLOMBIA SA</v>
          </cell>
          <cell r="E53" t="str">
            <v>860026518-6</v>
          </cell>
          <cell r="F53" t="str">
            <v>PRESTACIÓN DE SERVICIOS</v>
          </cell>
          <cell r="G53" t="str">
            <v>CONCURSO PUBLICO 02 - 2024</v>
          </cell>
          <cell r="H53" t="str">
            <v>Contar con la adecuada protección de los bienes, personas e Intereses patrimoniales de LA SOCIEDAD DE ACTIVOS ESPECIALES SAE S.A.S, así como de aquellos por los que sea o fuere legalmente responsable o le corresponda Asegurar en virtud de disposición legal o contractual - Concurso Publico 02-2024</v>
          </cell>
          <cell r="I53">
            <v>45429</v>
          </cell>
          <cell r="J53">
            <v>45801</v>
          </cell>
          <cell r="K53" t="str">
            <v>FRISCO</v>
          </cell>
          <cell r="L53">
            <v>12329489365</v>
          </cell>
          <cell r="M53">
            <v>373</v>
          </cell>
          <cell r="N53" t="str">
            <v>A-2-0-4-09-11</v>
          </cell>
          <cell r="O53" t="str">
            <v xml:space="preserve">$ - </v>
          </cell>
          <cell r="P53">
            <v>12329489365</v>
          </cell>
          <cell r="Q53">
            <v>6</v>
          </cell>
          <cell r="R53">
            <v>378</v>
          </cell>
          <cell r="S53">
            <v>45807</v>
          </cell>
          <cell r="T53" t="str">
            <v>VIGENTE</v>
          </cell>
          <cell r="U53">
            <v>0</v>
          </cell>
          <cell r="V53" t="str">
            <v>DIRECCIÓN ADMINISTRATIVA</v>
          </cell>
          <cell r="W53" t="str">
            <v>ADRIANA MARIA TOLEDO PEÑA</v>
          </cell>
        </row>
        <row r="54">
          <cell r="B54" t="str">
            <v>061-2024</v>
          </cell>
          <cell r="C54">
            <v>45418</v>
          </cell>
          <cell r="D54" t="str">
            <v>MAFRE COLOMBIA VIDA SEGUROS SA</v>
          </cell>
          <cell r="E54" t="str">
            <v>830054904-6</v>
          </cell>
          <cell r="F54" t="str">
            <v>PRESTACIÓN DE SERVICIOS</v>
          </cell>
          <cell r="G54" t="str">
            <v>CONCURSO PUBLICO 02 - 2024</v>
          </cell>
          <cell r="H54" t="str">
            <v>Seleccionar propuesta para contratar con una o varias compañías de seguros legalmente autorizadas para funcionar en el país, el programa de seguros requerido para la adecuada protección de los bienes, personas e Intereses patrimoniales de la SOCIEDAD DE ACTIVOS ESPECIALES SAE S.A.S, así como de aquellos por los que sea o fuere legalmente responsable o le corresponda Asegurar en virtud de disposición legal o contractual- POLIZA DE VIDA GRUPO FUNCIONARIOS Y SEGURO EXCEQUIAL FUNCIONARIOS</v>
          </cell>
          <cell r="I54">
            <v>45418</v>
          </cell>
          <cell r="J54">
            <v>45896</v>
          </cell>
          <cell r="K54" t="str">
            <v>SAE</v>
          </cell>
          <cell r="L54">
            <v>556500000</v>
          </cell>
          <cell r="M54">
            <v>479</v>
          </cell>
          <cell r="N54" t="str">
            <v>A-2-0-4-09-07</v>
          </cell>
          <cell r="O54" t="str">
            <v xml:space="preserve">$ - </v>
          </cell>
          <cell r="P54">
            <v>556500000</v>
          </cell>
          <cell r="Q54">
            <v>9</v>
          </cell>
          <cell r="R54">
            <v>487</v>
          </cell>
          <cell r="S54">
            <v>45905</v>
          </cell>
          <cell r="T54" t="str">
            <v>VIGENTE</v>
          </cell>
          <cell r="U54">
            <v>0</v>
          </cell>
          <cell r="V54" t="str">
            <v>DIRECCIÓN DE TALENTO HUMANO - VIC. CORPORATIVA</v>
          </cell>
          <cell r="W54" t="str">
            <v>CARMEN NATALIA NIÑO JIMENEZ</v>
          </cell>
        </row>
        <row r="55">
          <cell r="B55" t="str">
            <v>064-2024</v>
          </cell>
          <cell r="C55">
            <v>45434</v>
          </cell>
          <cell r="D55" t="str">
            <v>MIGUEL ANGEL DEL RIO ABOGADO SAS</v>
          </cell>
          <cell r="E55" t="str">
            <v>901627026-1</v>
          </cell>
          <cell r="F55" t="str">
            <v>PRESTACIÓN DE SERVICIOS</v>
          </cell>
          <cell r="G55" t="str">
            <v>CONTRATACIÓN DIRECTA</v>
          </cell>
          <cell r="H55" t="str">
            <v>Prestar servicios profesionales especializados con plena autonomía para la asesoría y la defensa jurídica de los intereses de la SAE en los asuntos penales tanto judiciales como extrajudiciales relacionados con los bienes y/o activos, sociedades y establecimientos de comercio a cargo de la Vicepresidencia de Sociedades</v>
          </cell>
          <cell r="I55">
            <v>45435</v>
          </cell>
          <cell r="J55">
            <v>45793</v>
          </cell>
          <cell r="K55" t="str">
            <v>FRISCO</v>
          </cell>
          <cell r="L55">
            <v>428400000</v>
          </cell>
          <cell r="M55">
            <v>359</v>
          </cell>
          <cell r="N55" t="str">
            <v>A-8-3-9-10-01</v>
          </cell>
          <cell r="O55" t="str">
            <v xml:space="preserve">$ - </v>
          </cell>
          <cell r="P55">
            <v>428400000</v>
          </cell>
          <cell r="Q55">
            <v>6</v>
          </cell>
          <cell r="R55">
            <v>364</v>
          </cell>
          <cell r="S55">
            <v>45799</v>
          </cell>
          <cell r="T55" t="str">
            <v>VIGENTE</v>
          </cell>
          <cell r="U55">
            <v>0</v>
          </cell>
          <cell r="V55" t="str">
            <v>VICEPRESIDENCIA DE SOCIEDADES</v>
          </cell>
          <cell r="W55" t="str">
            <v>SEBASTIAN CABALLERO ORTEGA</v>
          </cell>
        </row>
        <row r="56">
          <cell r="B56" t="str">
            <v>066-2024</v>
          </cell>
          <cell r="C56">
            <v>45435</v>
          </cell>
          <cell r="D56" t="str">
            <v>BIG MEDIA PUBLICIDAD SAS</v>
          </cell>
          <cell r="E56" t="str">
            <v>900663951-9</v>
          </cell>
          <cell r="F56" t="str">
            <v>PRESTACIÓN DE SERVICIOS</v>
          </cell>
          <cell r="G56" t="str">
            <v>MINIMA CUANTIA 02-2024</v>
          </cell>
          <cell r="H56" t="str">
            <v xml:space="preserve">Contratar la prestación del servicio de publicaciones digitales y/o impresas de avisos judiciales, edictos emplazatorios, clasificados y todos aquellos ordenados por la Ley, así como los actos, contratos, resoluciones, documentos y/o avisos referentes a las actividades que ejerce la Sociedad de Activos Especiales, que necesiten ser divulgados a la ciudadanía en general, en medio de comunicación con circulación nacional y/o regional. </v>
          </cell>
          <cell r="I56">
            <v>45440</v>
          </cell>
          <cell r="J56">
            <v>45798</v>
          </cell>
          <cell r="K56" t="str">
            <v>FRISCO</v>
          </cell>
          <cell r="L56">
            <v>110000000</v>
          </cell>
          <cell r="M56">
            <v>359</v>
          </cell>
          <cell r="N56" t="str">
            <v>A-2-0-4-07-06</v>
          </cell>
          <cell r="O56" t="str">
            <v xml:space="preserve">$ - </v>
          </cell>
          <cell r="P56">
            <v>110000000</v>
          </cell>
          <cell r="Q56">
            <v>6</v>
          </cell>
          <cell r="R56">
            <v>364</v>
          </cell>
          <cell r="S56">
            <v>45804</v>
          </cell>
          <cell r="T56" t="str">
            <v>VIGENTE</v>
          </cell>
          <cell r="U56">
            <v>0</v>
          </cell>
          <cell r="V56" t="str">
            <v>OFICINA DE PRENSA Y COMUNICACIONES - DESPACHO DEL PRESIDENTE</v>
          </cell>
          <cell r="W56" t="str">
            <v>ALEXANDER MENDEZ CORTES</v>
          </cell>
        </row>
        <row r="57">
          <cell r="B57" t="str">
            <v>079-2024</v>
          </cell>
          <cell r="C57">
            <v>45477</v>
          </cell>
          <cell r="D57" t="str">
            <v>FRANCISCO BERNATE OCHOA</v>
          </cell>
          <cell r="E57">
            <v>79801561</v>
          </cell>
          <cell r="F57" t="str">
            <v>PRESTACIÓN DE SERVICIOS</v>
          </cell>
          <cell r="G57" t="str">
            <v>CONTRATACIÓN DIRECTA</v>
          </cell>
          <cell r="H57" t="str">
            <v>Contratar la prestación de los servicios profesionales de representación judicial, extrajudicial y asesorías en asuntos penales de interés para la entidad conforme lo solicitado por la Sociedad de Activos Especiales S.A.S.</v>
          </cell>
          <cell r="I57">
            <v>45477</v>
          </cell>
          <cell r="J57">
            <v>45842</v>
          </cell>
          <cell r="K57" t="str">
            <v>FRISCO</v>
          </cell>
          <cell r="L57">
            <v>192000000</v>
          </cell>
          <cell r="M57">
            <v>365</v>
          </cell>
          <cell r="N57" t="str">
            <v>A-8-3-9-10-02</v>
          </cell>
          <cell r="O57" t="str">
            <v xml:space="preserve">$ - </v>
          </cell>
          <cell r="P57">
            <v>192000000</v>
          </cell>
          <cell r="Q57">
            <v>0</v>
          </cell>
          <cell r="R57">
            <v>365</v>
          </cell>
          <cell r="S57">
            <v>45842</v>
          </cell>
          <cell r="T57" t="str">
            <v>VIGENTE</v>
          </cell>
          <cell r="U57">
            <v>0</v>
          </cell>
          <cell r="V57" t="str">
            <v>DIRECCIÓN ASUNTOS LEGALES MISIONALES - VIC. OPERATIVA</v>
          </cell>
          <cell r="W57" t="str">
            <v xml:space="preserve">ANYI SHARLYN MARIN CAMARGO </v>
          </cell>
        </row>
        <row r="58">
          <cell r="B58" t="str">
            <v>082-2024</v>
          </cell>
          <cell r="C58">
            <v>45481</v>
          </cell>
          <cell r="D58" t="str">
            <v>BORA PROTECCIÓN Y SEGURIDAD INDUSTRIAL S.A.S.</v>
          </cell>
          <cell r="E58" t="str">
            <v>901365681-0</v>
          </cell>
          <cell r="F58" t="str">
            <v>ARRENDAMIENTO  Y/O ADQUISICIONES</v>
          </cell>
          <cell r="G58" t="str">
            <v>MINIMA CUANTIA 05-2024</v>
          </cell>
          <cell r="H58" t="str">
            <v>Contratar la adquisición de elementos de protección personal y dotación para los trabajadores de la Sociedad de Activos Especiales SAE S.A.S.</v>
          </cell>
          <cell r="I58">
            <v>45511</v>
          </cell>
          <cell r="J58">
            <v>45842</v>
          </cell>
          <cell r="K58" t="str">
            <v>SAE</v>
          </cell>
          <cell r="L58">
            <v>125000000</v>
          </cell>
          <cell r="M58">
            <v>0</v>
          </cell>
          <cell r="N58" t="str">
            <v>A-2-0-4-04-03</v>
          </cell>
          <cell r="O58">
            <v>63181202</v>
          </cell>
          <cell r="P58">
            <v>188181202</v>
          </cell>
          <cell r="Q58">
            <v>0</v>
          </cell>
          <cell r="R58">
            <v>331</v>
          </cell>
          <cell r="S58">
            <v>45842</v>
          </cell>
          <cell r="T58" t="str">
            <v>VIGENTE</v>
          </cell>
          <cell r="U58">
            <v>0</v>
          </cell>
          <cell r="V58" t="str">
            <v>DIRECCIÓN DE TALENTO HUMANO</v>
          </cell>
          <cell r="W58">
            <v>0</v>
          </cell>
        </row>
        <row r="59">
          <cell r="B59" t="str">
            <v>083-2024</v>
          </cell>
          <cell r="C59">
            <v>45509</v>
          </cell>
          <cell r="D59" t="str">
            <v>NOVOPANGEA GROUP SAS</v>
          </cell>
          <cell r="E59" t="str">
            <v>830512930-3</v>
          </cell>
          <cell r="F59" t="str">
            <v>ARRENDAMIENTO  Y/O ADQUISICIONES</v>
          </cell>
          <cell r="G59" t="str">
            <v>CONCURSO PUBLICO 04 - 2024</v>
          </cell>
          <cell r="H59" t="str">
            <v>Concurso Público 04-2024 Contratar la adquisición, implementación, puesta en marcha y soporte técnico de un sistema de Backup (solución de almacenamiento de datos) que incluya el software y hardware, de acuerdo con las especificaciones técnicas del contratante, necesario para la gestión de copias de respaldo de la información de la SAE S.A.S.</v>
          </cell>
          <cell r="I59">
            <v>45509</v>
          </cell>
          <cell r="J59">
            <v>46603</v>
          </cell>
          <cell r="K59" t="str">
            <v>FRISCO</v>
          </cell>
          <cell r="L59">
            <v>1999990041</v>
          </cell>
          <cell r="M59">
            <v>1094</v>
          </cell>
          <cell r="N59" t="str">
            <v>A-2-0-4-01-06</v>
          </cell>
          <cell r="O59" t="str">
            <v xml:space="preserve">$ - </v>
          </cell>
          <cell r="P59">
            <v>1999990041</v>
          </cell>
          <cell r="Q59">
            <v>0</v>
          </cell>
          <cell r="R59">
            <v>1094</v>
          </cell>
          <cell r="S59">
            <v>46603</v>
          </cell>
          <cell r="T59" t="str">
            <v>VIGENTE</v>
          </cell>
          <cell r="U59">
            <v>0</v>
          </cell>
          <cell r="V59" t="str">
            <v>OFICINA DE TECNOLOGÍAS Y SISTEMAS DE INFORMACIÓN</v>
          </cell>
          <cell r="W59" t="str">
            <v xml:space="preserve">DIVEITH DIANA CRISTINA DAVILA GOMEZ </v>
          </cell>
        </row>
        <row r="60">
          <cell r="B60" t="str">
            <v>087-2024</v>
          </cell>
          <cell r="C60">
            <v>45502</v>
          </cell>
          <cell r="D60" t="str">
            <v>OSCAR ALEJANDRO ROJAS GALLEGO</v>
          </cell>
          <cell r="E60">
            <v>1016044909</v>
          </cell>
          <cell r="F60" t="str">
            <v>PRESTACIÓN DE SERVICIOS</v>
          </cell>
          <cell r="G60" t="str">
            <v>CONTRATACIÓN DIRECTA</v>
          </cell>
          <cell r="H60" t="str">
            <v>Contratar la prestación de los servicios profesionales especializados de un (1) desarrollador, para realizar la construcción de los aplicativos misionales asignados y sus integraciones con los demás aplicativos.</v>
          </cell>
          <cell r="I60">
            <v>45502</v>
          </cell>
          <cell r="J60">
            <v>45859</v>
          </cell>
          <cell r="K60">
            <v>0</v>
          </cell>
          <cell r="L60">
            <v>101640000</v>
          </cell>
          <cell r="M60">
            <v>357</v>
          </cell>
          <cell r="N60" t="str">
            <v>A-1-0-2-12-01</v>
          </cell>
          <cell r="O60" t="str">
            <v xml:space="preserve">$ - </v>
          </cell>
          <cell r="P60">
            <v>101640000</v>
          </cell>
          <cell r="Q60">
            <v>0</v>
          </cell>
          <cell r="R60">
            <v>357</v>
          </cell>
          <cell r="S60">
            <v>45859</v>
          </cell>
          <cell r="T60" t="str">
            <v>VIGENTE</v>
          </cell>
          <cell r="U60" t="str">
            <v>NO</v>
          </cell>
          <cell r="V60" t="str">
            <v>DIRECCIÓN DE PROYECTOS</v>
          </cell>
          <cell r="W60" t="str">
            <v>FRANCIS CLARIZZA VARGAS DÍAZ</v>
          </cell>
        </row>
        <row r="61">
          <cell r="B61" t="str">
            <v>091-2024</v>
          </cell>
          <cell r="C61">
            <v>45502</v>
          </cell>
          <cell r="D61" t="str">
            <v>CAJA COLOMBIANA DE SUBSIDIO FAMILIAR - COLSUBSIDIO</v>
          </cell>
          <cell r="E61" t="str">
            <v>860007336-1</v>
          </cell>
          <cell r="F61" t="str">
            <v>PRESTACIÓN DE SERVICIOS</v>
          </cell>
          <cell r="G61" t="str">
            <v>CONTRATACIÓN DIRECTA</v>
          </cell>
          <cell r="H61" t="str">
            <v>Contratar los servicios de apoyo a la gestión de la Dirección de Talento Humano para la logística necesaria en el desarrollo de las actividades del Programa de Bienestar establecido para los trabajadores de la Sociedad de Activos Especiales SAS – SAE SAS.</v>
          </cell>
          <cell r="I61">
            <v>45505</v>
          </cell>
          <cell r="J61">
            <v>46599</v>
          </cell>
          <cell r="K61">
            <v>0</v>
          </cell>
          <cell r="L61">
            <v>3753585020</v>
          </cell>
          <cell r="M61">
            <v>1094</v>
          </cell>
          <cell r="N61" t="str">
            <v>A-2-0-4-21-04</v>
          </cell>
          <cell r="O61">
            <v>232233634</v>
          </cell>
          <cell r="P61">
            <v>3985818654</v>
          </cell>
          <cell r="Q61">
            <v>0</v>
          </cell>
          <cell r="R61">
            <v>1094</v>
          </cell>
          <cell r="S61">
            <v>46599</v>
          </cell>
          <cell r="T61" t="str">
            <v>VIGENTE</v>
          </cell>
          <cell r="U61" t="str">
            <v>NO</v>
          </cell>
          <cell r="V61" t="str">
            <v>DIRECCIÓN DE TALENTO HUMANO</v>
          </cell>
          <cell r="W61" t="str">
            <v>IVETH SUSANA AYALA RODRIGUEZ</v>
          </cell>
        </row>
        <row r="62">
          <cell r="B62" t="str">
            <v>095-2024</v>
          </cell>
          <cell r="C62">
            <v>45502</v>
          </cell>
          <cell r="D62" t="str">
            <v>Esri Colombia SAS</v>
          </cell>
          <cell r="E62">
            <v>830122983</v>
          </cell>
          <cell r="F62" t="str">
            <v>CONTRATO DE COMPRAVENTA</v>
          </cell>
          <cell r="G62" t="str">
            <v>CONTRATACIÓN DIRECTA</v>
          </cell>
          <cell r="H62" t="str">
            <v>Contratar la adquisición y los servicios de soporte y actualización de las licencias ArcGIS que tiene la Sociedad de Activos Especiales S.A.S</v>
          </cell>
          <cell r="I62">
            <v>45509</v>
          </cell>
          <cell r="J62">
            <v>45873</v>
          </cell>
          <cell r="K62" t="str">
            <v>FRISCO</v>
          </cell>
          <cell r="L62">
            <v>105651000</v>
          </cell>
          <cell r="M62">
            <v>0</v>
          </cell>
          <cell r="N62" t="str">
            <v>A-2-0-4-05-13</v>
          </cell>
          <cell r="O62" t="str">
            <v xml:space="preserve">$ - </v>
          </cell>
          <cell r="P62">
            <v>105651000</v>
          </cell>
          <cell r="Q62">
            <v>0</v>
          </cell>
          <cell r="R62">
            <v>364</v>
          </cell>
          <cell r="S62">
            <v>45873</v>
          </cell>
          <cell r="T62" t="str">
            <v>VIGENTE</v>
          </cell>
          <cell r="U62" t="str">
            <v>SI</v>
          </cell>
          <cell r="V62" t="str">
            <v>OFICINA DE TECNOLOGÍAS Y SISTEMAS DE INFORMACIÓN</v>
          </cell>
          <cell r="W62">
            <v>0</v>
          </cell>
        </row>
        <row r="63">
          <cell r="B63" t="str">
            <v>097-2024</v>
          </cell>
          <cell r="C63">
            <v>45504</v>
          </cell>
          <cell r="D63" t="str">
            <v> LUIS GUILLERMO VASQUEZ MESA</v>
          </cell>
          <cell r="E63">
            <v>1032408529</v>
          </cell>
          <cell r="F63" t="str">
            <v>PRESTACIÓN DE SERVICIOS</v>
          </cell>
          <cell r="G63" t="str">
            <v>CONTRATACIÓN DIRECTA</v>
          </cell>
          <cell r="H63" t="str">
            <v>Prestación de servicios profesionales especializados para el apoyo técnico legal de trasferencias y ventas en los mecanismos de plan de desarrollo en ventas individuales, directas, onerosas, gratuitas y formalización de los diferentes procesos de venta de los bienes inmuebles extintos y en proceso de extinción de dominio que cuentan con autorización de enajenación temprana, los cuales se encuentran bajo administración de la Sociedad de Activos Especiales S.A.S., de cuerdo con la segmentación del portafolio a comercializar durante la vigencia establecida en el contrato.</v>
          </cell>
          <cell r="I63">
            <v>45504</v>
          </cell>
          <cell r="J63">
            <v>45868</v>
          </cell>
          <cell r="K63" t="str">
            <v>FRISCO</v>
          </cell>
          <cell r="L63">
            <v>144000000</v>
          </cell>
          <cell r="M63">
            <v>364</v>
          </cell>
          <cell r="N63" t="str">
            <v>A-1-0-2-12-01</v>
          </cell>
          <cell r="O63" t="str">
            <v xml:space="preserve">$ - </v>
          </cell>
          <cell r="P63">
            <v>144000000</v>
          </cell>
          <cell r="Q63">
            <v>0</v>
          </cell>
          <cell r="R63">
            <v>364</v>
          </cell>
          <cell r="S63">
            <v>45868</v>
          </cell>
          <cell r="T63" t="str">
            <v>VIGENTE</v>
          </cell>
          <cell r="U63" t="str">
            <v>NO</v>
          </cell>
          <cell r="V63" t="str">
            <v>VICEPRESIDENCIA DE ACTIVOS MUEBLES E INMUEBLES</v>
          </cell>
          <cell r="W63">
            <v>0</v>
          </cell>
        </row>
        <row r="64">
          <cell r="B64" t="str">
            <v>099-2024</v>
          </cell>
          <cell r="C64">
            <v>45504</v>
          </cell>
          <cell r="D64" t="str">
            <v>EVALUA SALUD IPS SAS</v>
          </cell>
          <cell r="E64">
            <v>900380150</v>
          </cell>
          <cell r="F64" t="str">
            <v>PRESTACIÓN DE SERVICIOS</v>
          </cell>
          <cell r="G64" t="str">
            <v>CONTRATACIÓN ABREVIADA 04-2024</v>
          </cell>
          <cell r="H64" t="str">
            <v>Contratar los servicios exámenes medicos de ocupacionales, valoraciones deportivas, manipulacióin de alimentos, evaluación riesgo psicosocial, pruebas para conductores; así como exámenes paraclínicos, exámenes de laboratorio y vacunas que sean necesaarios a los aspirantes, practicantes o pasantes, judicantes, aprendices y trabajadores de Sociedad de Activos Especiales SAS, a nivel nacional.</v>
          </cell>
          <cell r="I64">
            <v>45505</v>
          </cell>
          <cell r="J64">
            <v>46599</v>
          </cell>
          <cell r="K64" t="str">
            <v>SAE</v>
          </cell>
          <cell r="L64">
            <v>321516387</v>
          </cell>
          <cell r="M64">
            <v>1094</v>
          </cell>
          <cell r="N64" t="str">
            <v>A-2-0-4-21-07</v>
          </cell>
          <cell r="O64">
            <v>10000000</v>
          </cell>
          <cell r="P64">
            <v>331516387</v>
          </cell>
          <cell r="Q64">
            <v>0</v>
          </cell>
          <cell r="R64">
            <v>1094</v>
          </cell>
          <cell r="S64">
            <v>46599</v>
          </cell>
          <cell r="T64" t="str">
            <v>VIGENTE</v>
          </cell>
          <cell r="U64" t="str">
            <v>SI</v>
          </cell>
          <cell r="V64" t="str">
            <v>DIRECCIÓN DE TALENTO HUMANO</v>
          </cell>
          <cell r="W64" t="str">
            <v>IVETH SUSANA AYALA RODRIGUEZ</v>
          </cell>
        </row>
        <row r="65">
          <cell r="B65" t="str">
            <v>100-2024</v>
          </cell>
          <cell r="C65">
            <v>45516</v>
          </cell>
          <cell r="D65" t="str">
            <v>KAROL ANGELICA GUTIERREZ GUERRERO</v>
          </cell>
          <cell r="E65">
            <v>1075262474</v>
          </cell>
          <cell r="F65" t="str">
            <v>PRESTACIÓN DE SERVICIOS</v>
          </cell>
          <cell r="G65" t="str">
            <v>CONTRATACIÓN DIRECTA</v>
          </cell>
          <cell r="H65" t="str">
            <v xml:space="preserve">Contratar la prestación de los servicios profesionales de un (1) analista, para realizar el análisis, levantamiento y construcción de los requerimientos de acuerdo con la metodología de la SAE SAS, junto con las pruebas generales del producto terminado de los aplicativos misionales asignados, incluyendo las integraciones con los demás aplicativos.  </v>
          </cell>
          <cell r="I65">
            <v>45516</v>
          </cell>
          <cell r="J65">
            <v>45880</v>
          </cell>
          <cell r="K65" t="str">
            <v>FRISCO</v>
          </cell>
          <cell r="L65">
            <v>93593772</v>
          </cell>
          <cell r="M65">
            <v>364</v>
          </cell>
          <cell r="N65" t="str">
            <v>A-1-0-2-12-01</v>
          </cell>
          <cell r="O65" t="str">
            <v xml:space="preserve">$ - </v>
          </cell>
          <cell r="P65">
            <v>93593772</v>
          </cell>
          <cell r="Q65">
            <v>0</v>
          </cell>
          <cell r="R65">
            <v>364</v>
          </cell>
          <cell r="S65">
            <v>45880</v>
          </cell>
          <cell r="T65" t="str">
            <v>VIGENTE</v>
          </cell>
          <cell r="U65" t="str">
            <v>NO</v>
          </cell>
          <cell r="V65" t="str">
            <v>OFICINA DE TECNOLOGÍAS Y SISTEMAS DE INFORMACIÓN</v>
          </cell>
          <cell r="W65">
            <v>0</v>
          </cell>
        </row>
        <row r="66">
          <cell r="B66" t="str">
            <v>101-2024</v>
          </cell>
          <cell r="C66">
            <v>45513</v>
          </cell>
          <cell r="D66" t="str">
            <v>MEDIA COMMERCE S A S</v>
          </cell>
          <cell r="E66" t="str">
            <v>819006966-8</v>
          </cell>
          <cell r="F66" t="str">
            <v>PRESTACIÓN DE SERVICIOS</v>
          </cell>
          <cell r="G66" t="str">
            <v>EXPEDITA ESPECIAL</v>
          </cell>
          <cell r="H66" t="str">
            <v>Contratar la instalación, prestación del servicio, mantenimiento y soporte de canales de internet dedicados para las diferentes sedes de la SAE SAS a nivel Nacional.</v>
          </cell>
          <cell r="I66">
            <v>45519</v>
          </cell>
          <cell r="J66">
            <v>45883</v>
          </cell>
          <cell r="K66" t="str">
            <v>FRISCO</v>
          </cell>
          <cell r="L66">
            <v>70913323</v>
          </cell>
          <cell r="M66">
            <v>364</v>
          </cell>
          <cell r="N66" t="str">
            <v>A-2-0-4-08-06</v>
          </cell>
          <cell r="O66">
            <v>10630662</v>
          </cell>
          <cell r="P66">
            <v>81543985</v>
          </cell>
          <cell r="Q66">
            <v>0</v>
          </cell>
          <cell r="R66">
            <v>364</v>
          </cell>
          <cell r="S66">
            <v>45883</v>
          </cell>
          <cell r="T66" t="str">
            <v>VIGENTE</v>
          </cell>
          <cell r="U66" t="str">
            <v>SI</v>
          </cell>
          <cell r="V66" t="str">
            <v>OFICINA DE TECNOLOGÍAS Y SISTEMAS DE INFORMACIÓN</v>
          </cell>
          <cell r="W66" t="str">
            <v xml:space="preserve">DIVEITH DIANA CRISTINA DAVILA GOMEZ </v>
          </cell>
        </row>
        <row r="67">
          <cell r="B67" t="str">
            <v>103-2024</v>
          </cell>
          <cell r="C67">
            <v>45520</v>
          </cell>
          <cell r="D67" t="str">
            <v>2L proyectos sas BIC</v>
          </cell>
          <cell r="E67">
            <v>901154678</v>
          </cell>
          <cell r="F67" t="str">
            <v>MANTENIMIENTO Y/O REPARACIÓN</v>
          </cell>
          <cell r="G67" t="str">
            <v>CONVOCATORIA PÚBLICA</v>
          </cell>
          <cell r="H67" t="str">
            <v>Ejecución de actividades de reparaciones, obras y mantenimiento (ROM), y otros arreglos locativos a los inmuebles en administración de la SAE SAS, de la Direccion Territorial Centro Oriente Subdivision 1 - CP-03-2024 - LOTE No 1</v>
          </cell>
          <cell r="I67">
            <v>45560</v>
          </cell>
          <cell r="J67">
            <v>45925</v>
          </cell>
          <cell r="K67" t="str">
            <v>FRISCO</v>
          </cell>
          <cell r="L67">
            <v>530000000</v>
          </cell>
          <cell r="M67">
            <v>0</v>
          </cell>
          <cell r="N67" t="str">
            <v>A-2-0-4-05-01</v>
          </cell>
          <cell r="O67" t="str">
            <v xml:space="preserve">$ - </v>
          </cell>
          <cell r="P67">
            <v>530000000</v>
          </cell>
          <cell r="Q67">
            <v>0</v>
          </cell>
          <cell r="R67">
            <v>365</v>
          </cell>
          <cell r="S67">
            <v>45925</v>
          </cell>
          <cell r="T67" t="str">
            <v>VIGENTE</v>
          </cell>
          <cell r="U67" t="str">
            <v>SI</v>
          </cell>
          <cell r="V67" t="str">
            <v>DIRECCIÓN TERRITORIAL OCCIDENTE - DIRECCIÓN DE ANALÍTICA, ALISTAMIENTO Y VALORACIÓN</v>
          </cell>
          <cell r="W67">
            <v>0</v>
          </cell>
        </row>
        <row r="68">
          <cell r="N68" t="str">
            <v>A-8-3-9-07-02</v>
          </cell>
        </row>
        <row r="69">
          <cell r="B69" t="str">
            <v>104-2024</v>
          </cell>
          <cell r="C69">
            <v>45520</v>
          </cell>
          <cell r="D69" t="str">
            <v>3G INGENERIA AVANZADA SAS</v>
          </cell>
          <cell r="E69">
            <v>901116527</v>
          </cell>
          <cell r="F69" t="str">
            <v>MANTENIMIENTO Y/O REPARACIÓN</v>
          </cell>
          <cell r="G69" t="str">
            <v>CONVOCATORIA PÚBLICA</v>
          </cell>
          <cell r="H69" t="str">
            <v>Ejecución de actividades de reparaciones, obras y mantenimiento (ROM), y otros arreglos locativos a los inmuebles en administración de la SAE SAS, de la Direccion Territorial Centro Oriente Subdivision 2 - CP-03-2024 - LOTE No 2</v>
          </cell>
          <cell r="I69">
            <v>45560</v>
          </cell>
          <cell r="J69">
            <v>45925</v>
          </cell>
          <cell r="K69" t="str">
            <v>FRISCO</v>
          </cell>
          <cell r="L69">
            <v>700000000</v>
          </cell>
          <cell r="M69">
            <v>0</v>
          </cell>
          <cell r="N69" t="str">
            <v>A-2-0-4-05-01</v>
          </cell>
          <cell r="O69" t="str">
            <v xml:space="preserve">$ - </v>
          </cell>
          <cell r="P69">
            <v>700000000</v>
          </cell>
          <cell r="Q69">
            <v>0</v>
          </cell>
          <cell r="R69">
            <v>365</v>
          </cell>
          <cell r="S69">
            <v>45925</v>
          </cell>
          <cell r="T69" t="str">
            <v>VIGENTE</v>
          </cell>
          <cell r="U69" t="str">
            <v>SI</v>
          </cell>
          <cell r="V69" t="str">
            <v>DIRECCIÓN TERRITORIAL OCCIDENTE - DIRECCIÓN DE ANALÍTICA, ALISTAMIENTO Y VALORACIÓN</v>
          </cell>
          <cell r="W69">
            <v>0</v>
          </cell>
        </row>
        <row r="70">
          <cell r="N70" t="str">
            <v>A-8-3-9-07-02</v>
          </cell>
        </row>
        <row r="71">
          <cell r="B71" t="str">
            <v>105-2024</v>
          </cell>
          <cell r="C71">
            <v>45551</v>
          </cell>
          <cell r="D71" t="str">
            <v>Fundación para el Desarrollo Social, Empresarial y Comunitario de Colombia</v>
          </cell>
          <cell r="E71">
            <v>805028473</v>
          </cell>
          <cell r="F71" t="str">
            <v>MANTENIMIENTO Y/O REPARACIÓN</v>
          </cell>
          <cell r="G71" t="str">
            <v>CONVOCATORIA PÚBLICA</v>
          </cell>
          <cell r="H71" t="str">
            <v>Ejecución de actividades de reparaciones, obras y mantenimiento (ROM), y otros arreglos locativos a los inmuebles en administración de la SAE SAS, de la Direccion Territorial Sur Occidente - CP-03-2024 - LOTE No 3</v>
          </cell>
          <cell r="I71">
            <v>45555</v>
          </cell>
          <cell r="J71">
            <v>45919</v>
          </cell>
          <cell r="K71" t="str">
            <v>FRISCO</v>
          </cell>
          <cell r="L71">
            <v>1274000000</v>
          </cell>
          <cell r="M71">
            <v>0</v>
          </cell>
          <cell r="N71" t="str">
            <v>A-2-0-4-05-01</v>
          </cell>
          <cell r="O71" t="str">
            <v xml:space="preserve">$ - </v>
          </cell>
          <cell r="P71">
            <v>1274000000</v>
          </cell>
          <cell r="Q71">
            <v>0</v>
          </cell>
          <cell r="R71">
            <v>364</v>
          </cell>
          <cell r="S71">
            <v>45919</v>
          </cell>
          <cell r="T71" t="str">
            <v>VIGENTE</v>
          </cell>
          <cell r="U71" t="str">
            <v>SI</v>
          </cell>
          <cell r="V71" t="str">
            <v>DIRECCIÓN TERRITORIAL OCCIDENTE - DIRECCIÓN DE ANALÍTICA, ALISTAMIENTO Y VALORACIÓN</v>
          </cell>
          <cell r="W71">
            <v>0</v>
          </cell>
        </row>
        <row r="72">
          <cell r="N72" t="str">
            <v>A-8-3-9-07-02</v>
          </cell>
        </row>
        <row r="73">
          <cell r="B73" t="str">
            <v>106-2024</v>
          </cell>
          <cell r="C73">
            <v>45544</v>
          </cell>
          <cell r="D73" t="str">
            <v>CONSORCIO SAN GABRIEL</v>
          </cell>
          <cell r="E73" t="str">
            <v>900.265.408-3</v>
          </cell>
          <cell r="F73" t="str">
            <v>MANTENIMIENTO Y/O REPARACIÓN</v>
          </cell>
          <cell r="G73" t="str">
            <v>CONVOCATORIA PÚBLICA</v>
          </cell>
          <cell r="H73" t="str">
            <v>Ejecución de actividades de reparaciones, obras y mantenimiento (ROM), y otros arreglos locativos a los inmuebles en administración de la SAE SAS, de la Direccion Territorial de Occidente - CP-03-2024 - LOTE No 4</v>
          </cell>
          <cell r="I73">
            <v>45555</v>
          </cell>
          <cell r="J73">
            <v>45920</v>
          </cell>
          <cell r="K73" t="str">
            <v>FRISCO</v>
          </cell>
          <cell r="L73">
            <v>1405000000</v>
          </cell>
          <cell r="M73">
            <v>0</v>
          </cell>
          <cell r="N73" t="str">
            <v>A-2-0-4-05-01</v>
          </cell>
          <cell r="O73" t="str">
            <v xml:space="preserve">$ - </v>
          </cell>
          <cell r="P73">
            <v>1405000000</v>
          </cell>
          <cell r="Q73">
            <v>0</v>
          </cell>
          <cell r="R73">
            <v>365</v>
          </cell>
          <cell r="S73">
            <v>45920</v>
          </cell>
          <cell r="T73" t="str">
            <v>VIGENTE</v>
          </cell>
          <cell r="U73" t="str">
            <v>SI</v>
          </cell>
          <cell r="V73" t="str">
            <v>DIRECCIÓN TERRITORIAL OCCIDENTE - DIRECCIÓN DE ANALÍTICA, ALISTAMIENTO Y VALORACIÓN</v>
          </cell>
          <cell r="W73">
            <v>0</v>
          </cell>
        </row>
        <row r="74">
          <cell r="N74" t="str">
            <v>A-8-3-9-07-02</v>
          </cell>
        </row>
        <row r="75">
          <cell r="B75" t="str">
            <v>107-2024</v>
          </cell>
          <cell r="C75">
            <v>45520</v>
          </cell>
          <cell r="D75" t="str">
            <v>RISE CONSTRUCCIONES S.A.S.</v>
          </cell>
          <cell r="E75" t="str">
            <v>900.790.429-9</v>
          </cell>
          <cell r="F75" t="str">
            <v>MANTENIMIENTO Y/O REPARACIÓN</v>
          </cell>
          <cell r="G75" t="str">
            <v>CONVOCATORIA PÚBLICA</v>
          </cell>
          <cell r="H75" t="str">
            <v>Ejecución de actividades de reparaciones, obras y mantenimiento (ROM), y otros arreglos locativos a los inmuebles en administración de la SAE SAS, de la Direccion Territorial de Occidente Subdivision San Andres y providencia - CP-03-2024 - LOTE No 5</v>
          </cell>
          <cell r="I75">
            <v>45558</v>
          </cell>
          <cell r="J75">
            <v>45923</v>
          </cell>
          <cell r="K75" t="str">
            <v>FRISCO</v>
          </cell>
          <cell r="L75">
            <v>999999980</v>
          </cell>
          <cell r="M75">
            <v>0</v>
          </cell>
          <cell r="N75" t="str">
            <v>A-2-0-4-05-01</v>
          </cell>
          <cell r="O75" t="str">
            <v xml:space="preserve">$ - </v>
          </cell>
          <cell r="P75">
            <v>999999980</v>
          </cell>
          <cell r="Q75">
            <v>0</v>
          </cell>
          <cell r="R75">
            <v>365</v>
          </cell>
          <cell r="S75">
            <v>45923</v>
          </cell>
          <cell r="T75" t="str">
            <v>VIGENTE</v>
          </cell>
          <cell r="U75" t="str">
            <v>SI</v>
          </cell>
          <cell r="V75" t="str">
            <v>DIRECCIÓN TERRITORIAL OCCIDENTE - DIRECCIÓN DE ANALÍTICA, ALISTAMIENTO Y VALORACIÓN</v>
          </cell>
          <cell r="W75">
            <v>0</v>
          </cell>
        </row>
        <row r="76">
          <cell r="N76" t="str">
            <v>A-8-3-9-07-02</v>
          </cell>
        </row>
        <row r="77">
          <cell r="B77" t="str">
            <v>108-2024</v>
          </cell>
          <cell r="C77">
            <v>45544</v>
          </cell>
          <cell r="D77" t="str">
            <v>CONSORCIO H&amp;M DISEÑO Y CONSTRUCCION SAS</v>
          </cell>
          <cell r="E77" t="str">
            <v>901860746-3</v>
          </cell>
          <cell r="F77" t="str">
            <v>MANTENIMIENTO Y/O REPARACIÓN</v>
          </cell>
          <cell r="G77" t="str">
            <v>CONVOCATORIA PÚBLICA</v>
          </cell>
          <cell r="H77" t="str">
            <v>Ejecución de actividades de reparaciones, obras y mantenimiento (ROM), y otros arreglos locativos a los inmuebles en administración de la SAE SAS, de la Direccion Territorial Caribe - CP-03-2024 - LOTE No 6</v>
          </cell>
          <cell r="I77">
            <v>45560</v>
          </cell>
          <cell r="J77">
            <v>45924</v>
          </cell>
          <cell r="K77" t="str">
            <v>FRISCO</v>
          </cell>
          <cell r="L77">
            <v>600000000</v>
          </cell>
          <cell r="M77">
            <v>0</v>
          </cell>
          <cell r="N77" t="str">
            <v>A-2-0-4-05-01</v>
          </cell>
          <cell r="O77" t="str">
            <v xml:space="preserve">$ - </v>
          </cell>
          <cell r="P77">
            <v>600000000</v>
          </cell>
          <cell r="Q77">
            <v>0</v>
          </cell>
          <cell r="R77">
            <v>364</v>
          </cell>
          <cell r="S77">
            <v>45924</v>
          </cell>
          <cell r="T77" t="str">
            <v>VIGENTE</v>
          </cell>
          <cell r="U77" t="str">
            <v>SI</v>
          </cell>
          <cell r="V77" t="str">
            <v>DIRECCIÓN TERRITORIAL OCCIDENTE - DIRECCIÓN DE ANALÍTICA, ALISTAMIENTO Y VALORACIÓN</v>
          </cell>
          <cell r="W77">
            <v>0</v>
          </cell>
        </row>
        <row r="78">
          <cell r="N78" t="str">
            <v>A-8-3-9-07-02</v>
          </cell>
        </row>
        <row r="79">
          <cell r="B79" t="str">
            <v>109-2024</v>
          </cell>
          <cell r="C79">
            <v>45539</v>
          </cell>
          <cell r="D79" t="str">
            <v>BRAYHER GOMEZ REYES</v>
          </cell>
          <cell r="E79">
            <v>72202092</v>
          </cell>
          <cell r="F79" t="str">
            <v>PRESTACIÓN DE SERVICIOS</v>
          </cell>
          <cell r="G79" t="str">
            <v>CONTRATACIÓN DIRECTA</v>
          </cell>
          <cell r="H79" t="str">
            <v>Contratar la prestación de los servicios profesionales especializados de un (1) desarrollador, para realizar la construcción de los aplicativos misionales asignados y sus integraciones con los demás aplicativos.</v>
          </cell>
          <cell r="I79">
            <v>45539</v>
          </cell>
          <cell r="J79">
            <v>45903</v>
          </cell>
          <cell r="K79" t="str">
            <v>FRISCO</v>
          </cell>
          <cell r="L79">
            <v>114840000</v>
          </cell>
          <cell r="M79">
            <v>364</v>
          </cell>
          <cell r="N79" t="str">
            <v>A-1-0-2-12-01</v>
          </cell>
          <cell r="O79" t="str">
            <v xml:space="preserve">$ - </v>
          </cell>
          <cell r="P79">
            <v>114840000</v>
          </cell>
          <cell r="Q79">
            <v>0</v>
          </cell>
          <cell r="R79">
            <v>364</v>
          </cell>
          <cell r="S79">
            <v>45903</v>
          </cell>
          <cell r="T79" t="str">
            <v>VIGENTE</v>
          </cell>
          <cell r="U79" t="str">
            <v>SI</v>
          </cell>
          <cell r="V79" t="str">
            <v>DIRECCIÓN ADMINISTRATIVA</v>
          </cell>
          <cell r="W79">
            <v>0</v>
          </cell>
        </row>
        <row r="80">
          <cell r="B80" t="str">
            <v>111-2024</v>
          </cell>
          <cell r="C80">
            <v>45532</v>
          </cell>
          <cell r="D80" t="str">
            <v>SOLUTION COPY LTDA</v>
          </cell>
          <cell r="E80">
            <v>830053669</v>
          </cell>
          <cell r="F80" t="str">
            <v>PRESTACIÓN DE SERVICIOS</v>
          </cell>
          <cell r="G80" t="str">
            <v xml:space="preserve">CONTRATACIÓN EXPEDITA ESPECIAL </v>
          </cell>
          <cell r="H80" t="str">
            <v>Contratar el servicio de outsourcing de impresión, fotocopiado, escaneo, repuestos, operarios, tóner, papel, servicio técnico, mantenimiento preventivo y correctivo, y arrendamiento de equipos a todo costo para la SAE SAS.</v>
          </cell>
          <cell r="I80">
            <v>45537</v>
          </cell>
          <cell r="J80">
            <v>45901</v>
          </cell>
          <cell r="K80" t="str">
            <v>SAE</v>
          </cell>
          <cell r="L80">
            <v>581660039</v>
          </cell>
          <cell r="M80">
            <v>364</v>
          </cell>
          <cell r="N80" t="str">
            <v>A-2-0-4-07-03</v>
          </cell>
          <cell r="O80" t="str">
            <v xml:space="preserve">$ - </v>
          </cell>
          <cell r="P80">
            <v>581660039</v>
          </cell>
          <cell r="Q80">
            <v>0</v>
          </cell>
          <cell r="R80">
            <v>364</v>
          </cell>
          <cell r="S80">
            <v>45901</v>
          </cell>
          <cell r="T80" t="str">
            <v>VIGENTE</v>
          </cell>
          <cell r="U80" t="str">
            <v>SI</v>
          </cell>
          <cell r="V80" t="str">
            <v>DIRECCIÓN ADMINISTRATIVA</v>
          </cell>
          <cell r="W80">
            <v>0</v>
          </cell>
        </row>
        <row r="81">
          <cell r="B81" t="str">
            <v>113-2024</v>
          </cell>
          <cell r="C81">
            <v>45539</v>
          </cell>
          <cell r="D81" t="str">
            <v>EDNA KATHERINE GÓMEZ LOSADA</v>
          </cell>
          <cell r="E81">
            <v>1075285003</v>
          </cell>
          <cell r="F81" t="str">
            <v>PRESTACIÓN DE SERVICIOS</v>
          </cell>
          <cell r="G81" t="str">
            <v>CONTRATACIÓN DIRECTA</v>
          </cell>
          <cell r="H81" t="str">
            <v>Prestar los servicios profesionales jurídicos especializados con la finalidad de asesorar los procesos de identificación, caracterización y análisis jurídico de los inmuebles rurales de la Entidad a cargo de la Dirección para la Democratización de Activos Inmuebles Rurales.</v>
          </cell>
          <cell r="I81">
            <v>45539</v>
          </cell>
          <cell r="J81">
            <v>45903</v>
          </cell>
          <cell r="K81" t="str">
            <v>FRISCO</v>
          </cell>
          <cell r="L81">
            <v>132000000</v>
          </cell>
          <cell r="M81">
            <v>364</v>
          </cell>
          <cell r="N81" t="str">
            <v>A-8-3-9-10-01</v>
          </cell>
          <cell r="O81" t="str">
            <v xml:space="preserve">$ - </v>
          </cell>
          <cell r="P81">
            <v>132000000</v>
          </cell>
          <cell r="Q81">
            <v>0</v>
          </cell>
          <cell r="R81">
            <v>364</v>
          </cell>
          <cell r="S81">
            <v>45903</v>
          </cell>
          <cell r="T81" t="str">
            <v>VIGENTE</v>
          </cell>
          <cell r="U81" t="str">
            <v>NO</v>
          </cell>
          <cell r="V81" t="str">
            <v xml:space="preserve">DIRECCIÓN PARA LA DEMOCRATIZACIÓN DE ACTIVOS INMUEBLES RURALES </v>
          </cell>
          <cell r="W81">
            <v>0</v>
          </cell>
        </row>
        <row r="82">
          <cell r="B82" t="str">
            <v>122-2024</v>
          </cell>
          <cell r="C82">
            <v>45544</v>
          </cell>
          <cell r="D82" t="str">
            <v>AMÉZQUITA &amp; CIA SAS</v>
          </cell>
          <cell r="E82" t="str">
            <v>860.023.380-3</v>
          </cell>
          <cell r="F82" t="str">
            <v>PRESTACIÓN DE SERVICIOS</v>
          </cell>
          <cell r="G82" t="str">
            <v>CONTRATACIÓN DIRECTA</v>
          </cell>
          <cell r="H82" t="str">
            <v>Contratar la prestación de los servicios de Revisoría Fiscal de la SOCIEDAD DE ACTIVOS  ESPECIALES –S.A.E. S.A.S de conformidad con lo establecido con la normatividad aplicable, y los estatutos sociales de la entidad, incluyendo con ello las siguientes actividades: Auditoría Financiera, Auditoría de Cumplimiento, Auditoría de Control interno, Auditoría de Gestión, Auditoría de Riesgos, Auditoría de Sistemas y tecnología.</v>
          </cell>
          <cell r="I82">
            <v>45593</v>
          </cell>
          <cell r="J82">
            <v>45957</v>
          </cell>
          <cell r="K82" t="str">
            <v>SAE</v>
          </cell>
          <cell r="L82">
            <v>226100000</v>
          </cell>
          <cell r="M82">
            <v>364</v>
          </cell>
          <cell r="N82" t="str">
            <v>A-1-0-2-12-01</v>
          </cell>
          <cell r="O82" t="str">
            <v xml:space="preserve">$ - </v>
          </cell>
          <cell r="P82">
            <v>226100000</v>
          </cell>
          <cell r="Q82">
            <v>0</v>
          </cell>
          <cell r="R82">
            <v>364</v>
          </cell>
          <cell r="S82">
            <v>45957</v>
          </cell>
          <cell r="T82" t="str">
            <v>VIGENTE</v>
          </cell>
          <cell r="U82" t="str">
            <v>SI</v>
          </cell>
          <cell r="V82" t="str">
            <v>DIRECCIÓN FINANCIERA</v>
          </cell>
          <cell r="W82" t="str">
            <v>JOHN ALBEYRO PEÑA CARREÑO</v>
          </cell>
        </row>
        <row r="83">
          <cell r="B83" t="str">
            <v>124-2024</v>
          </cell>
          <cell r="C83">
            <v>45546</v>
          </cell>
          <cell r="D83" t="str">
            <v>IMPOCAMARAS BOGOTA - BRAYAN ALBERTO CAMACHO OYOLA</v>
          </cell>
          <cell r="E83">
            <v>1030598851</v>
          </cell>
          <cell r="F83" t="str">
            <v>CONTRATO DE SUMINISTRO</v>
          </cell>
          <cell r="G83" t="str">
            <v xml:space="preserve">CONTRATACIÓN EXPEDITA ESPECIAL </v>
          </cell>
          <cell r="H83" t="str">
            <v>Contratar la adquisición e instalación de los sistemas de aire acondicionado para las sedes de la Sociedad  de Activos Especiales S.A.S donde se identifique esta necesidad, incluyendo los mantenimientos  preventivos y correctivos que garanticen el adecuado funcionamiento de los equipos.</v>
          </cell>
          <cell r="I83">
            <v>45547</v>
          </cell>
          <cell r="J83">
            <v>46296</v>
          </cell>
          <cell r="K83" t="str">
            <v>SAE</v>
          </cell>
          <cell r="L83">
            <v>81978066</v>
          </cell>
          <cell r="M83">
            <v>749</v>
          </cell>
          <cell r="N83" t="str">
            <v>A-2-0-4-05-10</v>
          </cell>
          <cell r="O83" t="str">
            <v xml:space="preserve">$ - </v>
          </cell>
          <cell r="P83">
            <v>81978066</v>
          </cell>
          <cell r="Q83">
            <v>0</v>
          </cell>
          <cell r="R83">
            <v>749</v>
          </cell>
          <cell r="S83">
            <v>46296</v>
          </cell>
          <cell r="T83" t="str">
            <v>VIGENTE</v>
          </cell>
          <cell r="U83" t="str">
            <v>SI</v>
          </cell>
          <cell r="V83" t="str">
            <v>DIRECCIÓN ADMINISTRATIVA</v>
          </cell>
          <cell r="W83">
            <v>0</v>
          </cell>
        </row>
        <row r="84">
          <cell r="B84" t="str">
            <v>126-2024</v>
          </cell>
          <cell r="C84">
            <v>45548</v>
          </cell>
          <cell r="D84" t="str">
            <v>YIRLEY XILENA DEL CASTILLO MARQUEZ</v>
          </cell>
          <cell r="E84">
            <v>1071429934</v>
          </cell>
          <cell r="F84" t="str">
            <v>PRESTACIÓN DE SERVICIOS</v>
          </cell>
          <cell r="G84" t="str">
            <v>CONTRATACIÓN DIRECTA</v>
          </cell>
          <cell r="H84" t="str">
            <v>Un técnico II calificado e idóneo para brindar apoyo a la Sociedad de Activos Especiales Aplicar el procedimiento de destinaciones provisionales y/o definitivas de los bienes inmuebles asignados a la Dirección Territorial Caribe en el marco de generación de productividad social.</v>
          </cell>
          <cell r="I84">
            <v>45551</v>
          </cell>
          <cell r="J84">
            <v>45915</v>
          </cell>
          <cell r="K84" t="str">
            <v>FRISCO</v>
          </cell>
          <cell r="L84">
            <v>60000000</v>
          </cell>
          <cell r="M84">
            <v>364</v>
          </cell>
          <cell r="N84" t="str">
            <v>A-1-0-2-12-01</v>
          </cell>
          <cell r="O84" t="str">
            <v xml:space="preserve">$ - </v>
          </cell>
          <cell r="P84">
            <v>60000000</v>
          </cell>
          <cell r="Q84">
            <v>-3</v>
          </cell>
          <cell r="R84">
            <v>361</v>
          </cell>
          <cell r="S84">
            <v>45912</v>
          </cell>
          <cell r="T84" t="str">
            <v>VIGENTE</v>
          </cell>
          <cell r="U84" t="str">
            <v>NO</v>
          </cell>
          <cell r="V84" t="str">
            <v>VICEPRESIDENCIA DE ACTIVOS MUEBLES E INMUEBLES</v>
          </cell>
          <cell r="W84">
            <v>0</v>
          </cell>
        </row>
        <row r="85">
          <cell r="B85" t="str">
            <v>127-2024</v>
          </cell>
          <cell r="C85">
            <v>45530</v>
          </cell>
          <cell r="D85" t="str">
            <v>UNIVERSIDAD DE CORDOBA</v>
          </cell>
          <cell r="E85" t="str">
            <v>891080031-3</v>
          </cell>
          <cell r="F85" t="str">
            <v>PRESTACIÓN DE SERVICIOS</v>
          </cell>
          <cell r="G85" t="str">
            <v xml:space="preserve">Contrato Interadministrativo </v>
          </cell>
          <cell r="H85" t="str">
            <v>Contratar la interventoría técnica y jurídica, para hacer el seguimiento al contrato y/o convenio que suscriba la Sociedad de Activos Especiales y la Organización Internacional para las Migraciones -OIM el cual tiene por objeto “Aunar esfuerzos técnicos, administrativos y financiero entre la Sociedad de Activos Especiales (SAE) y la Organización Internacional para las Migraciones (OIM) para contribuir a la implementación del Acuerdo de Paz y la reforma agraria a través de la Política de Tierras para la Paz de la SAE, brindando procesos de estabilización comunitaria, soluciones duraderas, desarrollo de iniciativas productivas y de comercialización de los productos de los aliados, como aporte a sus procesos de recuperación, resiliencia y autosuficiencia para la consolidación de la paz</v>
          </cell>
          <cell r="I85">
            <v>45544</v>
          </cell>
          <cell r="J85">
            <v>46273</v>
          </cell>
          <cell r="K85" t="str">
            <v>FRISCO</v>
          </cell>
          <cell r="L85">
            <v>600000000</v>
          </cell>
          <cell r="M85">
            <v>729</v>
          </cell>
          <cell r="N85" t="str">
            <v>A-8-3-9-10-01</v>
          </cell>
          <cell r="O85" t="str">
            <v xml:space="preserve">$ - </v>
          </cell>
          <cell r="P85">
            <v>600000000</v>
          </cell>
          <cell r="Q85">
            <v>0</v>
          </cell>
          <cell r="R85">
            <v>729</v>
          </cell>
          <cell r="S85">
            <v>46273</v>
          </cell>
          <cell r="T85" t="str">
            <v>VIGENTE</v>
          </cell>
          <cell r="U85" t="str">
            <v>SI</v>
          </cell>
          <cell r="V85" t="str">
            <v>DIRECCIÓN PARA LA DEMOCRATIZACIÓN DE ACTIVOS INMUEBLES RURALES</v>
          </cell>
          <cell r="W85">
            <v>0</v>
          </cell>
        </row>
        <row r="86">
          <cell r="B86" t="str">
            <v>128-2024</v>
          </cell>
          <cell r="C86">
            <v>45553</v>
          </cell>
          <cell r="D86" t="str">
            <v>GLOBAL TECHNOLOGY SERVICES GTS SA</v>
          </cell>
          <cell r="E86" t="str">
            <v>830060020-5</v>
          </cell>
          <cell r="F86" t="str">
            <v>CONTRATO DE COMPRAVENTA</v>
          </cell>
          <cell r="G86" t="str">
            <v>CONVOCATORIA PÚBLICA</v>
          </cell>
          <cell r="H86" t="str">
            <v>Contratar el crecimiento y la renovación del licenciamiento de soporte para los componentes de hardware y software de infraestructura que forman parte de las plataformas de hiperconvergencia</v>
          </cell>
          <cell r="I86">
            <v>45558</v>
          </cell>
          <cell r="J86">
            <v>46590</v>
          </cell>
          <cell r="K86" t="str">
            <v>FRISCO</v>
          </cell>
          <cell r="L86">
            <v>2161854254</v>
          </cell>
          <cell r="M86">
            <v>1032</v>
          </cell>
          <cell r="N86" t="str">
            <v>A-2-0-4-01-06</v>
          </cell>
          <cell r="O86">
            <v>1270272272</v>
          </cell>
          <cell r="P86">
            <v>3432126526</v>
          </cell>
          <cell r="Q86">
            <v>0</v>
          </cell>
          <cell r="R86">
            <v>1032</v>
          </cell>
          <cell r="S86">
            <v>46590</v>
          </cell>
          <cell r="T86" t="str">
            <v>VIGENTE</v>
          </cell>
          <cell r="U86" t="str">
            <v>SI</v>
          </cell>
          <cell r="V86" t="str">
            <v>OFICINA DE TECNOLOGÍAS Y SISTEMAS DE INFORMACIÓN</v>
          </cell>
          <cell r="W86" t="str">
            <v xml:space="preserve">DIVEITH DIANA CRISTINA DAVILA GOMEZ </v>
          </cell>
        </row>
        <row r="87">
          <cell r="B87" t="str">
            <v>131-2024</v>
          </cell>
          <cell r="C87">
            <v>45581</v>
          </cell>
          <cell r="D87" t="str">
            <v>UNIVERSIDAD NACIONAL DE COLOMBIA</v>
          </cell>
          <cell r="E87" t="str">
            <v>899.999.063-3</v>
          </cell>
          <cell r="F87" t="str">
            <v>PRESTACIÓN DE SERVICIOS</v>
          </cell>
          <cell r="G87" t="str">
            <v>CONTRATACIÓN DIRECTA</v>
          </cell>
          <cell r="H87" t="str">
            <v>Contratar los servicios de Capacitación para el desarrollo del plan Empresarial de Capacitación, dirigido a los funcionarios de planta directa de la Sociedad de Activos Especiales, con el fin de lograr un mejor desarrollo y proyección institucional.</v>
          </cell>
          <cell r="I87">
            <v>45588</v>
          </cell>
          <cell r="J87">
            <v>46683</v>
          </cell>
          <cell r="K87" t="str">
            <v>SAE</v>
          </cell>
          <cell r="L87">
            <v>3679900320</v>
          </cell>
          <cell r="M87">
            <v>1095</v>
          </cell>
          <cell r="N87" t="str">
            <v>A-2-0-4-21-05</v>
          </cell>
          <cell r="O87" t="str">
            <v xml:space="preserve">$ - </v>
          </cell>
          <cell r="P87">
            <v>3679900320</v>
          </cell>
          <cell r="Q87">
            <v>0</v>
          </cell>
          <cell r="R87">
            <v>1095</v>
          </cell>
          <cell r="S87">
            <v>46683</v>
          </cell>
          <cell r="T87" t="str">
            <v>VIGENTE</v>
          </cell>
          <cell r="U87" t="str">
            <v>SI</v>
          </cell>
          <cell r="V87" t="str">
            <v>DIRECTOR/A DE TALENTO HUMANO</v>
          </cell>
          <cell r="W87" t="str">
            <v>IVETH SUSANA AYALA RODRIGUEZ</v>
          </cell>
        </row>
        <row r="88">
          <cell r="B88" t="str">
            <v>137-2024</v>
          </cell>
          <cell r="C88">
            <v>45566</v>
          </cell>
          <cell r="D88" t="str">
            <v>STEPHANY FERNANDA NINCO PEREZ</v>
          </cell>
          <cell r="E88">
            <v>1106782459</v>
          </cell>
          <cell r="F88" t="str">
            <v>PRESTACIÓN DE SERVICIOS</v>
          </cell>
          <cell r="G88" t="str">
            <v>CONTRATACIÓN DIRECTA</v>
          </cell>
          <cell r="H88" t="str">
            <v>Prestar los servicios profesionales jurídicos con la finalidad de asesorar los procesos de identificación, caracterización y análisis jurídico de los inmuebles rurales de la Entidad a cargo de la Dirección para la Democratización de Activos Inmuebles Rurales.</v>
          </cell>
          <cell r="I88">
            <v>45575</v>
          </cell>
          <cell r="J88">
            <v>45939</v>
          </cell>
          <cell r="K88" t="str">
            <v>FRISCO</v>
          </cell>
          <cell r="L88">
            <v>108000000</v>
          </cell>
          <cell r="M88">
            <v>364</v>
          </cell>
          <cell r="N88" t="str">
            <v>A-8-3-9-10-01</v>
          </cell>
          <cell r="O88" t="str">
            <v xml:space="preserve">$ - </v>
          </cell>
          <cell r="P88">
            <v>108000000</v>
          </cell>
          <cell r="Q88">
            <v>0</v>
          </cell>
          <cell r="R88">
            <v>364</v>
          </cell>
          <cell r="S88">
            <v>45939</v>
          </cell>
          <cell r="T88" t="str">
            <v>VIGENTE</v>
          </cell>
          <cell r="U88" t="str">
            <v>NO</v>
          </cell>
          <cell r="V88" t="str">
            <v>DIRECCIÓN PARA LA DEMOCRATIZACIÓN DE ACTIVOS INMUEBLES RURALES</v>
          </cell>
          <cell r="W88" t="str">
            <v>TANIA ESPERANZA GUZMÁN PARDO</v>
          </cell>
        </row>
        <row r="89">
          <cell r="B89" t="str">
            <v>138-2024</v>
          </cell>
          <cell r="C89">
            <v>45572</v>
          </cell>
          <cell r="D89" t="str">
            <v>BANCO POPULAR S A</v>
          </cell>
          <cell r="E89" t="str">
            <v>860007738-9</v>
          </cell>
          <cell r="F89" t="str">
            <v>PRESTACIÓN DE SERVICIOS</v>
          </cell>
          <cell r="G89" t="str">
            <v>CONTRATACIÓN DIRECTA</v>
          </cell>
          <cell r="H89" t="str">
            <v>Gestionar la venta a través del mecanismo de martillo, prestado por una entidad financiera, de los activos administrados por la SAE S.A.S por disposición legal o que sean de propiedad de esta, conforme a las especificaciones definidas en el estudio previo y sus anexos.</v>
          </cell>
          <cell r="I89">
            <v>45572</v>
          </cell>
          <cell r="J89">
            <v>46301</v>
          </cell>
          <cell r="K89" t="str">
            <v>SAE</v>
          </cell>
          <cell r="L89" t="str">
            <v xml:space="preserve">$ - </v>
          </cell>
          <cell r="M89">
            <v>729</v>
          </cell>
          <cell r="N89" t="str">
            <v>N/A</v>
          </cell>
          <cell r="O89" t="str">
            <v xml:space="preserve">$ - </v>
          </cell>
          <cell r="P89" t="str">
            <v xml:space="preserve"> $ - </v>
          </cell>
          <cell r="Q89">
            <v>0</v>
          </cell>
          <cell r="R89">
            <v>729</v>
          </cell>
          <cell r="S89">
            <v>46301</v>
          </cell>
          <cell r="T89" t="str">
            <v>VIGENTE</v>
          </cell>
          <cell r="U89" t="str">
            <v>NO</v>
          </cell>
          <cell r="V89" t="str">
            <v>DIRECCIÓN PARA LA DEMOCRATIZACIÓN DE ACTIVOS INMUEBLES RURALES - DIRECCIÓN COMERCIAL</v>
          </cell>
          <cell r="W89" t="str">
            <v>JOSE IGNACIO ALEMÁN BUITRAGO - JAIME ANDRÉS OSORNO NAVARRO</v>
          </cell>
        </row>
        <row r="90">
          <cell r="B90" t="str">
            <v>147-2024</v>
          </cell>
          <cell r="C90">
            <v>45574</v>
          </cell>
          <cell r="D90" t="str">
            <v>SOFTICS INGENIEROS SAS C.I.</v>
          </cell>
          <cell r="E90" t="str">
            <v>900.717.927-5</v>
          </cell>
          <cell r="F90" t="str">
            <v>CONTRATO DE COMPRAVENTA</v>
          </cell>
          <cell r="G90" t="str">
            <v>SUBASTA INVERSA</v>
          </cell>
          <cell r="H90" t="str">
            <v>Contratar la renovación y adquisición de licencias de una plataforma de seguridad para la detección y repuesta extendida denominada XDR para la Sociedad de Activos Especiales SAS, así como el soporte y la actualización de la misma – SI-02-2024</v>
          </cell>
          <cell r="I90">
            <v>45587</v>
          </cell>
          <cell r="J90">
            <v>45951</v>
          </cell>
          <cell r="K90" t="str">
            <v>SAE</v>
          </cell>
          <cell r="L90">
            <v>649904055</v>
          </cell>
          <cell r="M90">
            <v>364</v>
          </cell>
          <cell r="N90" t="str">
            <v>A-2-0-4-01-08</v>
          </cell>
          <cell r="O90" t="str">
            <v xml:space="preserve">$ - </v>
          </cell>
          <cell r="P90">
            <v>649904055</v>
          </cell>
          <cell r="Q90">
            <v>0</v>
          </cell>
          <cell r="R90">
            <v>364</v>
          </cell>
          <cell r="S90">
            <v>45951</v>
          </cell>
          <cell r="T90" t="str">
            <v>VIGENTE</v>
          </cell>
          <cell r="U90" t="str">
            <v>SI</v>
          </cell>
          <cell r="V90" t="str">
            <v>OFICINA DE TECNOLOGÍAS Y SISTEMAS DE INFORMACIÓN</v>
          </cell>
          <cell r="W90" t="str">
            <v xml:space="preserve">DIVEITH DIANA CRISTINA DAVILA GOMEZ </v>
          </cell>
        </row>
        <row r="91">
          <cell r="B91" t="str">
            <v>149-2024</v>
          </cell>
          <cell r="C91">
            <v>45545</v>
          </cell>
          <cell r="D91" t="str">
            <v>MARI LAURIS OÑATE DUARTE</v>
          </cell>
          <cell r="E91">
            <v>1123731456</v>
          </cell>
          <cell r="F91" t="str">
            <v>PRESTACIÓN DE SERVICIOS</v>
          </cell>
          <cell r="G91" t="str">
            <v>CONTRATACIÓN DIRECTA</v>
          </cell>
          <cell r="H91" t="str">
            <v>Prestar los servicios profesionales jurídicos especializados con la finalidad de asesorar los procesos de identificación, caracterización y análisis jurídico de los inmuebles rurales de la Entidad a cargo de la Dirección para la Democratización de Activos Inmuebles Rurales.</v>
          </cell>
          <cell r="I91">
            <v>45586</v>
          </cell>
          <cell r="J91">
            <v>45950</v>
          </cell>
          <cell r="K91" t="str">
            <v>FRISCO</v>
          </cell>
          <cell r="L91">
            <v>132000000</v>
          </cell>
          <cell r="M91">
            <v>364</v>
          </cell>
          <cell r="N91" t="str">
            <v>A-8-3-9-10-01</v>
          </cell>
          <cell r="O91" t="str">
            <v xml:space="preserve">$ - </v>
          </cell>
          <cell r="P91">
            <v>132000000</v>
          </cell>
          <cell r="Q91">
            <v>0</v>
          </cell>
          <cell r="R91">
            <v>364</v>
          </cell>
          <cell r="S91">
            <v>45950</v>
          </cell>
          <cell r="T91" t="str">
            <v>VIGENTE</v>
          </cell>
          <cell r="U91" t="str">
            <v>NO</v>
          </cell>
          <cell r="V91" t="str">
            <v>DIRECCIÓN PARA LA DEMOCRATIZACIÓN DE ACTIVOS INMUEBLES RURALES</v>
          </cell>
          <cell r="W91" t="str">
            <v>TANIA ESPERANZA GUZMÁN PARDO</v>
          </cell>
        </row>
        <row r="92">
          <cell r="B92" t="str">
            <v>153-2024</v>
          </cell>
          <cell r="C92">
            <v>45581</v>
          </cell>
          <cell r="D92" t="str">
            <v>UT VISION SAE 2024</v>
          </cell>
          <cell r="E92" t="str">
            <v>901.879.930- 6</v>
          </cell>
          <cell r="F92" t="str">
            <v>PRESTACIÓN DE SERVICIOS</v>
          </cell>
          <cell r="G92" t="str">
            <v>CONVOCATORIA PÚBLICA 2-2024</v>
          </cell>
          <cell r="H92" t="str">
            <v>Contratar la prestación de servicios de logística integral necesarios  para el desarrollo de las actividades propias de la administración de  los activos entregados a la Sociedad de Activos Especiales (SAE), por parte de la Fiscalía General de la Nación, en el marco de las  acciones de extinción dominio, para garantizar su recepción, registro,  custodia, mantenimiento, conservación, entrega y o destinación  provisional, así como para la realización de eventos  interinstitucionales relacionados con las actividades propias de la funciones asignadas a la SAE</v>
          </cell>
          <cell r="I92">
            <v>45586</v>
          </cell>
          <cell r="J92">
            <v>45797</v>
          </cell>
          <cell r="K92" t="str">
            <v>FRISCO</v>
          </cell>
          <cell r="L92">
            <v>1833000000</v>
          </cell>
          <cell r="M92">
            <v>211</v>
          </cell>
          <cell r="N92" t="str">
            <v>A-8-3-9-08-01</v>
          </cell>
          <cell r="O92" t="str">
            <v xml:space="preserve">$ - </v>
          </cell>
          <cell r="P92">
            <v>1833000000</v>
          </cell>
          <cell r="Q92">
            <v>0</v>
          </cell>
          <cell r="R92">
            <v>211</v>
          </cell>
          <cell r="S92">
            <v>45797</v>
          </cell>
          <cell r="T92" t="str">
            <v>VIGENTE</v>
          </cell>
          <cell r="U92" t="str">
            <v>SI</v>
          </cell>
          <cell r="V92" t="str">
            <v>VICEPRESIDENCIA OPERATIVA</v>
          </cell>
          <cell r="W92" t="str">
            <v>SEBASTIAN RIVERA ARIZA</v>
          </cell>
        </row>
        <row r="93">
          <cell r="N93" t="str">
            <v>A-2-0-4-41-13</v>
          </cell>
        </row>
        <row r="94">
          <cell r="B94" t="str">
            <v>154-2024</v>
          </cell>
          <cell r="C94">
            <v>45581</v>
          </cell>
          <cell r="D94" t="str">
            <v>UT VISION SAE 2024</v>
          </cell>
          <cell r="E94" t="str">
            <v>901.879.930- 6</v>
          </cell>
          <cell r="F94" t="str">
            <v>PRESTACIÓN DE SERVICIOS</v>
          </cell>
          <cell r="G94" t="str">
            <v>CONVOCATORIA PÚBLICA 2-2024</v>
          </cell>
          <cell r="H94" t="str">
            <v>Contratar la prestación de servicios de logística integral necesarios  para el desarrollo de las actividades propias de la administración de  los activos entregados a la Sociedad de Activos Especiales (SAE), por parte de la Fiscalía General de la Nación, en el marco de las  acciones de extinción dominio, para garantizar su recepción, registro,  custodia, mantenimiento, conservación, entrega y o destinación  provisional, así como para la realización de eventos  interinstitucionales relacionados con las actividades propias de la funciones asignadas a la SAE</v>
          </cell>
          <cell r="I94">
            <v>45586</v>
          </cell>
          <cell r="J94">
            <v>45797</v>
          </cell>
          <cell r="K94" t="str">
            <v>FRISCO</v>
          </cell>
          <cell r="L94">
            <v>1692000000</v>
          </cell>
          <cell r="M94">
            <v>211</v>
          </cell>
          <cell r="N94" t="str">
            <v>A-8-3-9-08-01</v>
          </cell>
          <cell r="O94" t="str">
            <v xml:space="preserve">$ - </v>
          </cell>
          <cell r="P94">
            <v>1692000000</v>
          </cell>
          <cell r="Q94">
            <v>0</v>
          </cell>
          <cell r="R94">
            <v>211</v>
          </cell>
          <cell r="S94">
            <v>45797</v>
          </cell>
          <cell r="T94" t="str">
            <v>VIGENTE</v>
          </cell>
          <cell r="U94" t="str">
            <v>SI</v>
          </cell>
          <cell r="V94" t="str">
            <v>VICEPRESIDENCIA OPERATIVA</v>
          </cell>
          <cell r="W94" t="str">
            <v>SEBASTIAN RIVERA ARIZA</v>
          </cell>
        </row>
        <row r="95">
          <cell r="N95" t="str">
            <v>A-2-0-4-41-13</v>
          </cell>
        </row>
        <row r="96">
          <cell r="B96" t="str">
            <v>155-2024</v>
          </cell>
          <cell r="C96">
            <v>45580</v>
          </cell>
          <cell r="D96" t="str">
            <v>CREALOGÍSTICA SAS</v>
          </cell>
          <cell r="E96" t="str">
            <v>900.905.767-1</v>
          </cell>
          <cell r="F96" t="str">
            <v>PRESTACIÓN DE SERVICIOS</v>
          </cell>
          <cell r="G96" t="str">
            <v>CONVOCATORIA PÚBLICA 2-2024</v>
          </cell>
          <cell r="H96" t="str">
            <v>Contratar la prestación de servicios de logística integral necesarios  para el desarrollo de las actividades propias de la administración de  los activos entregados a la Sociedad de Activos Especiales (SAE), por parte de la Fiscalía General de la Nación, en el marco de las  acciones de extinción dominio, para garantizar su recepción, registro,  custodia, mantenimiento, conservación, entrega y o destinación  provisional, así como para la realización de eventos  interinstitucionales relacionados con las actividades propias de la funciones asignadas a la SAE</v>
          </cell>
          <cell r="I96">
            <v>45581</v>
          </cell>
          <cell r="J96">
            <v>45792</v>
          </cell>
          <cell r="K96" t="str">
            <v>FRISCO</v>
          </cell>
          <cell r="L96">
            <v>1692000000</v>
          </cell>
          <cell r="M96">
            <v>211</v>
          </cell>
          <cell r="N96" t="str">
            <v>A-8-3-9-08-01</v>
          </cell>
          <cell r="O96" t="str">
            <v xml:space="preserve">$ - </v>
          </cell>
          <cell r="P96">
            <v>1692000000</v>
          </cell>
          <cell r="Q96">
            <v>0</v>
          </cell>
          <cell r="R96">
            <v>211</v>
          </cell>
          <cell r="S96">
            <v>45792</v>
          </cell>
          <cell r="T96" t="str">
            <v>VIGENTE</v>
          </cell>
          <cell r="U96" t="str">
            <v>SI</v>
          </cell>
          <cell r="V96" t="str">
            <v>VICEPRESIDENCIA OPERATIVA</v>
          </cell>
          <cell r="W96" t="str">
            <v>SEBASTIAN RIVERA ARIZA</v>
          </cell>
        </row>
        <row r="97">
          <cell r="N97" t="str">
            <v>A-2-0-4-41-13</v>
          </cell>
        </row>
        <row r="98">
          <cell r="B98" t="str">
            <v>156-2024</v>
          </cell>
          <cell r="C98">
            <v>45580</v>
          </cell>
          <cell r="D98" t="str">
            <v>LILIA PEDRAZA VELANDIA</v>
          </cell>
          <cell r="E98">
            <v>52527676</v>
          </cell>
          <cell r="F98" t="str">
            <v>PRESTACIÓN DE SERVICIOS</v>
          </cell>
          <cell r="G98" t="str">
            <v>CONTRATACIÓN DIRECTA</v>
          </cell>
          <cell r="H98" t="str">
            <v>Prestar servicios profesionales para brindar apoyo en la socialización de los mecanismos de administración de bienes Frisco y caracterización socioeconómica de las personas jurídicas sin ánimo de lucro beneficiarias de asignación de predios rurales administrados por la Sociedad de Activos Especiales SAS</v>
          </cell>
          <cell r="I98">
            <v>45582</v>
          </cell>
          <cell r="J98">
            <v>45946</v>
          </cell>
          <cell r="K98" t="str">
            <v>FRISCO</v>
          </cell>
          <cell r="L98">
            <v>98280000</v>
          </cell>
          <cell r="M98">
            <v>364</v>
          </cell>
          <cell r="N98" t="str">
            <v>A-8-3-9-10-01</v>
          </cell>
          <cell r="O98" t="str">
            <v xml:space="preserve">$ - </v>
          </cell>
          <cell r="P98">
            <v>98280000</v>
          </cell>
          <cell r="Q98">
            <v>0</v>
          </cell>
          <cell r="R98">
            <v>364</v>
          </cell>
          <cell r="S98">
            <v>45946</v>
          </cell>
          <cell r="T98" t="str">
            <v>VIGENTE</v>
          </cell>
          <cell r="U98" t="str">
            <v>NO</v>
          </cell>
          <cell r="V98" t="str">
            <v>DIRECCIÓN PARA LA DEMOCRATIZACIÓN DE ACTIVOS INMUEBLES RURALES</v>
          </cell>
          <cell r="W98" t="str">
            <v>TANIA ESPERANZA GUZMÁN PARDO</v>
          </cell>
        </row>
        <row r="99">
          <cell r="B99" t="str">
            <v>157-2024</v>
          </cell>
          <cell r="C99">
            <v>45586</v>
          </cell>
          <cell r="D99" t="str">
            <v>UNION TEMPORAL SECURITY EXPRESS</v>
          </cell>
          <cell r="E99" t="str">
            <v>901880601-1</v>
          </cell>
          <cell r="F99" t="str">
            <v>PRESTACIÓN DE SERVICIOS</v>
          </cell>
          <cell r="G99" t="str">
            <v>CONVOCATORIA PÚBLICA 3-2024</v>
          </cell>
          <cell r="H99" t="str">
            <v>Contratar la prestación del servicio integral de vigilancia y seguridad privada Fija y Móvil, con armas, sin armas, medio canino y medios tecnológicos para la permanente y adecuada protección las sedes en las que opera la Sociedad y a los bienes muebles e inmuebles que son administrados por la SAE SAS que requieran este tipo de servicio</v>
          </cell>
          <cell r="I99">
            <v>45590</v>
          </cell>
          <cell r="J99">
            <v>46684</v>
          </cell>
          <cell r="K99" t="str">
            <v>FRISCO/SAE</v>
          </cell>
          <cell r="L99">
            <v>17526513546</v>
          </cell>
          <cell r="M99">
            <v>1094</v>
          </cell>
          <cell r="N99" t="str">
            <v>A-2-0-4-05-10</v>
          </cell>
          <cell r="O99" t="str">
            <v xml:space="preserve">$ - </v>
          </cell>
          <cell r="P99">
            <v>17526513546</v>
          </cell>
          <cell r="Q99">
            <v>0</v>
          </cell>
          <cell r="R99">
            <v>1094</v>
          </cell>
          <cell r="S99">
            <v>46684</v>
          </cell>
          <cell r="T99" t="str">
            <v>VIGENTE</v>
          </cell>
          <cell r="U99" t="str">
            <v>SI</v>
          </cell>
          <cell r="V99" t="str">
            <v>DIRECCIÓN ADMINISTRATIVA</v>
          </cell>
          <cell r="W99" t="str">
            <v>DIANA ROCÍO MARTÍNEZ CABRERA</v>
          </cell>
        </row>
        <row r="100">
          <cell r="B100" t="str">
            <v>159-2024</v>
          </cell>
          <cell r="C100">
            <v>45596</v>
          </cell>
          <cell r="D100" t="str">
            <v>PLURUM S.A.S</v>
          </cell>
          <cell r="E100" t="str">
            <v>900.596.849-8</v>
          </cell>
          <cell r="F100" t="str">
            <v>PRESTACIÓN DE SERVICIOS</v>
          </cell>
          <cell r="G100" t="str">
            <v>CONTRATACIÓN DIRECTA</v>
          </cell>
          <cell r="H100" t="str">
            <v>Contratar los servicios para apoyar la gestión de Formación de Lideres dirigido al nivel Directivo y realizar la Medición de Clima Laboral de los trabajadores de la Sociedad de Activos Especiales SAE SAS.</v>
          </cell>
          <cell r="I100">
            <v>45596</v>
          </cell>
          <cell r="J100">
            <v>45838</v>
          </cell>
          <cell r="K100" t="str">
            <v>SAE</v>
          </cell>
          <cell r="L100">
            <v>127843188</v>
          </cell>
          <cell r="M100">
            <v>242</v>
          </cell>
          <cell r="N100" t="str">
            <v>A-2-0-4-21-04
A-2-0-4-21-05
A-2-0-4-21-05</v>
          </cell>
          <cell r="O100" t="str">
            <v xml:space="preserve">$ - </v>
          </cell>
          <cell r="P100">
            <v>127843188</v>
          </cell>
          <cell r="Q100">
            <v>0</v>
          </cell>
          <cell r="R100">
            <v>242</v>
          </cell>
          <cell r="S100">
            <v>45838</v>
          </cell>
          <cell r="T100" t="str">
            <v>VIGENTE</v>
          </cell>
          <cell r="U100" t="str">
            <v>NO</v>
          </cell>
          <cell r="V100" t="str">
            <v>DIRECTOR/A DE TALENTO HUMANO</v>
          </cell>
          <cell r="W100" t="str">
            <v>IVETH SUSANA AYALA RODRIGUEZ</v>
          </cell>
        </row>
        <row r="101">
          <cell r="B101" t="str">
            <v>160-2024</v>
          </cell>
          <cell r="C101">
            <v>45596</v>
          </cell>
          <cell r="D101" t="str">
            <v>TIQAL S.A.S.</v>
          </cell>
          <cell r="E101" t="str">
            <v>900.184.755-6</v>
          </cell>
          <cell r="F101" t="str">
            <v>PRESTACIÓN DE SERVICIOS</v>
          </cell>
          <cell r="G101" t="str">
            <v>CONTRATACIÓN DIRECTA</v>
          </cell>
          <cell r="H101" t="str">
            <v>Contratar el servicio de soporte, mantenimiento, actualización y desarrollo del aplicativo DARUMA que administra el Modelo Integrado de Planeación y Gestión – MIPG, que a su vez integra los sistemas de seguridad de la Información, continuidad del negocio, modelo de las tres líneas de defensa y los componentes del modelo estándar de control interno (MECI) para la Sociedad de Activos Especiales SAS</v>
          </cell>
          <cell r="I101">
            <v>45608</v>
          </cell>
          <cell r="J101">
            <v>45972</v>
          </cell>
          <cell r="K101" t="str">
            <v>SAE</v>
          </cell>
          <cell r="L101">
            <v>70384428</v>
          </cell>
          <cell r="M101">
            <v>364</v>
          </cell>
          <cell r="N101" t="str">
            <v>A-2-0-4-01-08</v>
          </cell>
          <cell r="O101" t="str">
            <v xml:space="preserve">$ - </v>
          </cell>
          <cell r="P101">
            <v>70384428</v>
          </cell>
          <cell r="Q101">
            <v>0</v>
          </cell>
          <cell r="R101">
            <v>364</v>
          </cell>
          <cell r="S101">
            <v>45972</v>
          </cell>
          <cell r="T101" t="str">
            <v>VIGENTE</v>
          </cell>
          <cell r="U101" t="str">
            <v>NO</v>
          </cell>
          <cell r="V101" t="str">
            <v>DIRECCIÓN DE PLANEACIÓN Y PROSPECTIVA / OFICINA DE TECNOLOGÍA Y SISTEMAS DE LA INFORMACIÓN</v>
          </cell>
          <cell r="W101" t="str">
            <v>JULIO ENRIQUE LATINO GARCÍA / DIVEITH DIANA CRISTINA DAVILA</v>
          </cell>
        </row>
        <row r="102">
          <cell r="B102" t="str">
            <v>161-2024</v>
          </cell>
          <cell r="C102">
            <v>45597</v>
          </cell>
          <cell r="D102" t="str">
            <v>DISTRICOM DE COLOMBIA SAS</v>
          </cell>
          <cell r="E102" t="str">
            <v>816.005.590-7</v>
          </cell>
          <cell r="F102" t="str">
            <v>CONTRATO DE COMPRAVENTA</v>
          </cell>
          <cell r="G102" t="str">
            <v>SUBASTA INVERSA</v>
          </cell>
          <cell r="H102" t="str">
            <v>Contratar la adquisición de licencias SQL SERVER y VISUAL STUDIO bajo la modalidad Open Value con Software Assurance, incluyendo soporte y actualización – SI-01-2024</v>
          </cell>
          <cell r="I102">
            <v>45609</v>
          </cell>
          <cell r="J102">
            <v>46703</v>
          </cell>
          <cell r="K102" t="str">
            <v>SAE</v>
          </cell>
          <cell r="L102">
            <v>419600000</v>
          </cell>
          <cell r="M102">
            <v>1094</v>
          </cell>
          <cell r="N102" t="str">
            <v>A-2-0-4-01-08</v>
          </cell>
          <cell r="O102" t="str">
            <v xml:space="preserve">$ - </v>
          </cell>
          <cell r="P102">
            <v>419600000</v>
          </cell>
          <cell r="Q102">
            <v>0</v>
          </cell>
          <cell r="R102">
            <v>1094</v>
          </cell>
          <cell r="S102">
            <v>46703</v>
          </cell>
          <cell r="T102" t="str">
            <v>VIGENTE</v>
          </cell>
          <cell r="U102" t="str">
            <v>NO</v>
          </cell>
          <cell r="V102" t="str">
            <v>OFICINA DE TECNOLOGÍAS Y SISTEMAS DE INFORMACIÓN</v>
          </cell>
          <cell r="W102" t="str">
            <v xml:space="preserve">DIVEITH DIANA CRISTINA DAVILA GOMEZ </v>
          </cell>
        </row>
        <row r="103">
          <cell r="B103" t="str">
            <v>176-2024</v>
          </cell>
          <cell r="C103">
            <v>45608</v>
          </cell>
          <cell r="D103" t="str">
            <v>RISKS INTERNATIONAL S.A.S.</v>
          </cell>
          <cell r="E103" t="str">
            <v>900.352.786-5</v>
          </cell>
          <cell r="F103" t="str">
            <v xml:space="preserve">PRESTACIÓN DE SERVICIOS </v>
          </cell>
          <cell r="G103" t="str">
            <v>CONTRATACIÓN DIRECTA</v>
          </cell>
          <cell r="H103" t="str">
            <v>Adquisición de licencia del aplicativo WEB para la consulta y verificación de información en las  listas restrictivas, vinculantes e informativas, reportes y bases de datos, a nivel global, con el fin de facilitar y garantizar los procesos de debida diligencia y conocimiento de los grupos de interés por parte de la Oficina de Integridad, Anticorrupción y Cumplimiento de la Sociedad de Activos Especiales</v>
          </cell>
          <cell r="I103">
            <v>45611</v>
          </cell>
          <cell r="J103">
            <v>46705</v>
          </cell>
          <cell r="K103" t="str">
            <v>FRISCO</v>
          </cell>
          <cell r="L103">
            <v>108591900</v>
          </cell>
          <cell r="M103">
            <v>1094</v>
          </cell>
          <cell r="N103" t="str">
            <v>A-2-0-4-01-08</v>
          </cell>
          <cell r="O103" t="str">
            <v xml:space="preserve">$ - </v>
          </cell>
          <cell r="P103">
            <v>108591900</v>
          </cell>
          <cell r="Q103">
            <v>0</v>
          </cell>
          <cell r="R103">
            <v>1094</v>
          </cell>
          <cell r="S103">
            <v>46705</v>
          </cell>
          <cell r="T103" t="str">
            <v>VIGENTE</v>
          </cell>
          <cell r="U103" t="str">
            <v>NO</v>
          </cell>
          <cell r="V103" t="str">
            <v>OFICINA DE INTEGRIDAD, ANTICORRUPCIÓN Y CUMPLIMIENTO</v>
          </cell>
          <cell r="W103" t="str">
            <v>MARIA DEL PILAR MURILLO RODRIGUEZ</v>
          </cell>
        </row>
        <row r="104">
          <cell r="B104" t="str">
            <v>179-2024</v>
          </cell>
          <cell r="C104">
            <v>45609</v>
          </cell>
          <cell r="D104" t="str">
            <v>LUCAS ALFREDO PINEDA JIMENEZ</v>
          </cell>
          <cell r="E104">
            <v>7633512</v>
          </cell>
          <cell r="F104" t="str">
            <v xml:space="preserve">PRESTACIÓN DE SERVICIOS </v>
          </cell>
          <cell r="G104" t="str">
            <v>CONTRATACIÓN DIRECTA</v>
          </cell>
          <cell r="H104" t="str">
            <v>Contratar la prestación de los servicios profesionales especializados de un (1) desarrollador para realizar la construcción de los aplicativos misionales asignados y sus integraciones con los demás aplicativos.</v>
          </cell>
          <cell r="I104">
            <v>45610</v>
          </cell>
          <cell r="J104">
            <v>45974</v>
          </cell>
          <cell r="K104" t="str">
            <v>FRISCO</v>
          </cell>
          <cell r="L104">
            <v>99840000</v>
          </cell>
          <cell r="M104">
            <v>364</v>
          </cell>
          <cell r="N104" t="str">
            <v>A-1-0-2-12-01</v>
          </cell>
          <cell r="O104" t="str">
            <v xml:space="preserve">$ - </v>
          </cell>
          <cell r="P104">
            <v>99840000</v>
          </cell>
          <cell r="Q104">
            <v>0</v>
          </cell>
          <cell r="R104">
            <v>364</v>
          </cell>
          <cell r="S104">
            <v>45974</v>
          </cell>
          <cell r="T104" t="str">
            <v>VIGENTE</v>
          </cell>
          <cell r="U104">
            <v>0</v>
          </cell>
          <cell r="V104" t="str">
            <v>OFICINA DE PRENSA Y COMUNICACIONES</v>
          </cell>
          <cell r="W104">
            <v>0</v>
          </cell>
        </row>
        <row r="105">
          <cell r="B105" t="str">
            <v>181-2024</v>
          </cell>
          <cell r="C105">
            <v>45623</v>
          </cell>
          <cell r="D105" t="str">
            <v>EMERMEDICA S.A. SERVICIOS DE AMBULANCIA PREPAGADOS</v>
          </cell>
          <cell r="E105" t="str">
            <v>800.126.785-7</v>
          </cell>
          <cell r="F105" t="str">
            <v xml:space="preserve">PRESTACIÓN DE SERVICIOS </v>
          </cell>
          <cell r="G105" t="str">
            <v>CONTRATACIÓN DIRECTA</v>
          </cell>
          <cell r="H105" t="str">
            <v>Contratar la prestación de servicios médicos asistencial prehospitalario integral para la salud en Área protegida como son: (Atención de urgencias, Atención de emergencias,  Orientación médica vía telefónica y Traslado de Paciente medicalizado), para los  Trabajadores, Proveedores, Contratistas y Visitantes que se encuentren en las sedes de  la Sociedad de Activos Especiales SAE S.A.S.</v>
          </cell>
          <cell r="I105">
            <v>45624</v>
          </cell>
          <cell r="J105">
            <v>46353</v>
          </cell>
          <cell r="K105" t="str">
            <v>SAE</v>
          </cell>
          <cell r="L105">
            <v>90000000</v>
          </cell>
          <cell r="M105">
            <v>729</v>
          </cell>
          <cell r="N105" t="str">
            <v>A-2-0-4-21-07</v>
          </cell>
          <cell r="O105" t="str">
            <v xml:space="preserve">$ - </v>
          </cell>
          <cell r="P105">
            <v>90000000</v>
          </cell>
          <cell r="Q105">
            <v>0</v>
          </cell>
          <cell r="R105">
            <v>729</v>
          </cell>
          <cell r="S105">
            <v>46353</v>
          </cell>
          <cell r="T105" t="str">
            <v>VIGENTE</v>
          </cell>
          <cell r="U105">
            <v>0</v>
          </cell>
          <cell r="V105" t="str">
            <v>DIRECCIÓN DE TALENTO HUMANO</v>
          </cell>
          <cell r="W105">
            <v>0</v>
          </cell>
        </row>
        <row r="106">
          <cell r="B106" t="str">
            <v>183-2024</v>
          </cell>
          <cell r="C106">
            <v>45629</v>
          </cell>
          <cell r="D106" t="str">
            <v>PONTIFICIA UNIVERSIDAD JAVERIANA</v>
          </cell>
          <cell r="E106" t="str">
            <v>860.013.720-1</v>
          </cell>
          <cell r="F106" t="str">
            <v xml:space="preserve">PRESTACIÓN DE SERVICIOS </v>
          </cell>
          <cell r="G106" t="str">
            <v>CONVENIO DE COOPERACIÓN</v>
          </cell>
          <cell r="H106" t="str">
            <v xml:space="preserve">Aunar esfuerzos para el diseño y consolidación de herramientas de producción de conocimiento, pedagogización y visibilización que aporten a la construcción de memoria histórica a partir del archivo de la Sociedad de Activos Especiales (SAE). </v>
          </cell>
          <cell r="I106">
            <v>45637</v>
          </cell>
          <cell r="J106">
            <v>45910</v>
          </cell>
          <cell r="K106" t="str">
            <v>SAE</v>
          </cell>
          <cell r="L106">
            <v>709613576</v>
          </cell>
          <cell r="M106">
            <v>273</v>
          </cell>
          <cell r="N106" t="str">
            <v>A-2-0-4-41-13</v>
          </cell>
          <cell r="O106" t="str">
            <v xml:space="preserve">$ - </v>
          </cell>
          <cell r="P106">
            <v>709613576</v>
          </cell>
          <cell r="Q106">
            <v>0</v>
          </cell>
          <cell r="R106">
            <v>273</v>
          </cell>
          <cell r="S106">
            <v>45910</v>
          </cell>
          <cell r="T106" t="str">
            <v>VIGENTE</v>
          </cell>
          <cell r="U106" t="str">
            <v>SI</v>
          </cell>
          <cell r="V106" t="str">
            <v>DIRECCIÓN ADMINISTRATIVA</v>
          </cell>
          <cell r="W106" t="str">
            <v>DIANA ROCÍO MARTÍNEZ CABRERA</v>
          </cell>
        </row>
        <row r="107">
          <cell r="B107" t="str">
            <v>184-2024</v>
          </cell>
          <cell r="C107">
            <v>45617</v>
          </cell>
          <cell r="D107" t="str">
            <v>ALEXANDER REINA OTERO</v>
          </cell>
          <cell r="E107">
            <v>91298384</v>
          </cell>
          <cell r="F107" t="str">
            <v xml:space="preserve">PRESTACIÓN DE SERVICIOS </v>
          </cell>
          <cell r="G107" t="str">
            <v>CONTRATACIÓN DIRECTA</v>
          </cell>
          <cell r="H107" t="str">
            <v>Prestar servicios profesionales con autonomía técnica y administrativa a la Vicepresidencia Corporativa, para el seguimiento y evaluación de los proyectos desarrollados en el marco de la Política de Responsabilidad Social Empresarial de la SAE S.A.S</v>
          </cell>
          <cell r="I107">
            <v>45621</v>
          </cell>
          <cell r="J107">
            <v>45801</v>
          </cell>
          <cell r="K107" t="str">
            <v>SAE</v>
          </cell>
          <cell r="L107">
            <v>66000000</v>
          </cell>
          <cell r="M107">
            <v>180</v>
          </cell>
          <cell r="N107" t="str">
            <v>A-1-0-2-12-01</v>
          </cell>
          <cell r="O107" t="str">
            <v xml:space="preserve">$ - </v>
          </cell>
          <cell r="P107">
            <v>66000000</v>
          </cell>
          <cell r="Q107">
            <v>0</v>
          </cell>
          <cell r="R107">
            <v>180</v>
          </cell>
          <cell r="S107">
            <v>45801</v>
          </cell>
          <cell r="T107" t="str">
            <v>VIGENTE</v>
          </cell>
          <cell r="U107" t="str">
            <v>NO</v>
          </cell>
          <cell r="V107" t="str">
            <v>VICEPRESIDENCIA CORPORATIVA</v>
          </cell>
          <cell r="W107" t="str">
            <v>AURA ELVIRA GÓMEZ MARTÍNEZ</v>
          </cell>
        </row>
        <row r="108">
          <cell r="B108" t="str">
            <v>186-2024</v>
          </cell>
          <cell r="C108">
            <v>45623</v>
          </cell>
          <cell r="D108" t="str">
            <v>NOVOPANGEA GROUP SAS</v>
          </cell>
          <cell r="E108" t="str">
            <v>830512930-3</v>
          </cell>
          <cell r="F108" t="str">
            <v>COMPRAVENTA</v>
          </cell>
          <cell r="G108" t="str">
            <v>SUBASTA INVERSA</v>
          </cell>
          <cell r="H108" t="str">
            <v>Contratar la adquisición, implementación, puesta en marcha de una herramienta de Custodia y Seguridad de la Información para la Gestión de Copias de Respaldo de la Sociedad de Activos Especiales SAS – SAE SAS., incluyendo la adquisición del licenciamiento de soporte</v>
          </cell>
          <cell r="I108">
            <v>45625</v>
          </cell>
          <cell r="J108">
            <v>45989</v>
          </cell>
          <cell r="K108" t="str">
            <v>SAE</v>
          </cell>
          <cell r="L108">
            <v>340074210</v>
          </cell>
          <cell r="M108">
            <v>364</v>
          </cell>
          <cell r="N108" t="str">
            <v>A-2-0-4-05-14</v>
          </cell>
          <cell r="O108" t="str">
            <v xml:space="preserve">$ - </v>
          </cell>
          <cell r="P108">
            <v>340074210</v>
          </cell>
          <cell r="Q108">
            <v>0</v>
          </cell>
          <cell r="R108">
            <v>364</v>
          </cell>
          <cell r="S108">
            <v>45989</v>
          </cell>
          <cell r="T108" t="str">
            <v>VIGENTE</v>
          </cell>
          <cell r="U108" t="str">
            <v>NO</v>
          </cell>
          <cell r="V108" t="str">
            <v>OFICINA DE TECNOLOGÍAS Y SISTEMAS DE INFORMACIÓN</v>
          </cell>
          <cell r="W108" t="str">
            <v xml:space="preserve">DIVEITH DIANA CRISTINA DAVILA GOMEZ </v>
          </cell>
        </row>
        <row r="109">
          <cell r="B109" t="str">
            <v>189-2024</v>
          </cell>
          <cell r="C109">
            <v>45622</v>
          </cell>
          <cell r="D109" t="str">
            <v xml:space="preserve">SERGIO ANDRES GAMBOA DELGADO </v>
          </cell>
          <cell r="E109">
            <v>1023889593</v>
          </cell>
          <cell r="F109" t="str">
            <v xml:space="preserve">PRESTACIÓN DE SERVICIOS </v>
          </cell>
          <cell r="G109" t="str">
            <v>CONTRATACIÓN DIRECTA</v>
          </cell>
          <cell r="H109" t="str">
            <v>Prestación de servicios profesionales para coordinar y orientar a las organizaciones públicopopulares en la aplicación de los mecanismos de disposición temporal y definitiva de los inmuebles no sociales administrados por la Sociedad de Activos Especiales SAS (SAE)</v>
          </cell>
          <cell r="I109">
            <v>45629</v>
          </cell>
          <cell r="J109">
            <v>45810</v>
          </cell>
          <cell r="K109" t="str">
            <v>FRISCO</v>
          </cell>
          <cell r="L109">
            <v>77220000</v>
          </cell>
          <cell r="M109">
            <v>181</v>
          </cell>
          <cell r="N109" t="str">
            <v>A-1-0-2-12-01</v>
          </cell>
          <cell r="O109" t="str">
            <v xml:space="preserve">$ - </v>
          </cell>
          <cell r="P109">
            <v>77220000</v>
          </cell>
          <cell r="Q109">
            <v>0</v>
          </cell>
          <cell r="R109">
            <v>181</v>
          </cell>
          <cell r="S109">
            <v>45810</v>
          </cell>
          <cell r="T109" t="str">
            <v>VIGENTE</v>
          </cell>
          <cell r="U109" t="str">
            <v>NO</v>
          </cell>
          <cell r="V109" t="str">
            <v>DIRECCIÓN PARA LA DEMOCRATIZACIÓN DE ACTIVOS INMUEBLES URBANOS</v>
          </cell>
          <cell r="W109" t="str">
            <v xml:space="preserve">HEINER DE JESUS GAITAN PARRA </v>
          </cell>
        </row>
        <row r="110">
          <cell r="B110" t="str">
            <v>190-2024</v>
          </cell>
          <cell r="C110">
            <v>45623</v>
          </cell>
          <cell r="D110" t="str">
            <v>LEIDY JOHANNA PARRA TIQUE</v>
          </cell>
          <cell r="E110">
            <v>1016013079</v>
          </cell>
          <cell r="F110" t="str">
            <v xml:space="preserve">PRESTACIÓN DE SERVICIOS </v>
          </cell>
          <cell r="G110" t="str">
            <v>CONTRATACIÓN DIRECTA</v>
          </cell>
          <cell r="H110" t="str">
            <v>Prestación de servicios de apoyo a la gestión para la socialización, implementación y aplicación de los mecanismos de disposición temporal y definitiva, de los inmuebles no sociales administrados por la Sociedad de Activos Especiales SAS (SAE).</v>
          </cell>
          <cell r="I110">
            <v>45623</v>
          </cell>
          <cell r="J110">
            <v>45987</v>
          </cell>
          <cell r="K110" t="str">
            <v>FRISCO</v>
          </cell>
          <cell r="L110">
            <v>22620000</v>
          </cell>
          <cell r="M110">
            <v>364</v>
          </cell>
          <cell r="N110" t="str">
            <v>A-1-0-2-12-01</v>
          </cell>
          <cell r="O110" t="str">
            <v xml:space="preserve">$ - </v>
          </cell>
          <cell r="P110">
            <v>22620000</v>
          </cell>
          <cell r="Q110">
            <v>-184</v>
          </cell>
          <cell r="R110">
            <v>180</v>
          </cell>
          <cell r="S110">
            <v>45803</v>
          </cell>
          <cell r="T110" t="str">
            <v>VIGENTE</v>
          </cell>
          <cell r="U110">
            <v>0</v>
          </cell>
          <cell r="V110" t="str">
            <v>DIRECCIÓN PARA LA DEMOCRATIZACIÓN DE ACTIVOS INMUEBLES URBANOS</v>
          </cell>
          <cell r="W110">
            <v>0</v>
          </cell>
        </row>
        <row r="111">
          <cell r="B111" t="str">
            <v>191-2024</v>
          </cell>
          <cell r="C111">
            <v>45623</v>
          </cell>
          <cell r="D111" t="str">
            <v>BORIS MOSCOTE TORRES</v>
          </cell>
          <cell r="E111">
            <v>77039601</v>
          </cell>
          <cell r="F111" t="str">
            <v xml:space="preserve">PRESTACIÓN DE SERVICIOS </v>
          </cell>
          <cell r="G111" t="str">
            <v>CONTRATACIÓN DIRECTA</v>
          </cell>
          <cell r="H111" t="str">
            <v>Prestación de servicios de apoyo a la gestión para la socialización, implementación y aplicación de los mecanismos de disposición temporal y definitiva, de los inmuebles no sociales administrados por la Sociedad de Activos Especiales SAS (SAE).</v>
          </cell>
          <cell r="I111">
            <v>45625</v>
          </cell>
          <cell r="J111">
            <v>45805</v>
          </cell>
          <cell r="K111" t="str">
            <v>FRISCO</v>
          </cell>
          <cell r="L111">
            <v>22620000</v>
          </cell>
          <cell r="M111">
            <v>180</v>
          </cell>
          <cell r="N111" t="str">
            <v>A-1-0-2-12-01</v>
          </cell>
          <cell r="O111" t="str">
            <v xml:space="preserve">$ - </v>
          </cell>
          <cell r="P111">
            <v>22620000</v>
          </cell>
          <cell r="Q111">
            <v>0</v>
          </cell>
          <cell r="R111">
            <v>180</v>
          </cell>
          <cell r="S111">
            <v>45805</v>
          </cell>
          <cell r="T111" t="str">
            <v>VIGENTE</v>
          </cell>
          <cell r="U111">
            <v>0</v>
          </cell>
          <cell r="V111" t="str">
            <v>DIRECCIÓN PARA LA DEMOCRATIZACIÓN DE ACTIVOS INMUEBLES URBANOS</v>
          </cell>
          <cell r="W111">
            <v>0</v>
          </cell>
        </row>
        <row r="112">
          <cell r="B112" t="str">
            <v>192-2024</v>
          </cell>
          <cell r="C112">
            <v>45623</v>
          </cell>
          <cell r="D112" t="str">
            <v xml:space="preserve">CRISTIAN CAMILO ROJAS VELASQUEZ </v>
          </cell>
          <cell r="E112">
            <v>1010209562</v>
          </cell>
          <cell r="F112" t="str">
            <v xml:space="preserve">PRESTACIÓN DE SERVICIOS </v>
          </cell>
          <cell r="G112" t="str">
            <v>CONTRATACIÓN DIRECTA</v>
          </cell>
          <cell r="H112" t="str">
            <v>Prestación de servicios profesionales para el desarrollo del componente social en la implementación y aplicación de los mecanismos de disposición temporal y definitiva de los inmuebles no sociales administrados por la Sociedad de Activos Especiales SAS (SAE).</v>
          </cell>
          <cell r="I112">
            <v>45636</v>
          </cell>
          <cell r="J112">
            <v>45817</v>
          </cell>
          <cell r="K112" t="str">
            <v>FRISCO</v>
          </cell>
          <cell r="L112">
            <v>49920000</v>
          </cell>
          <cell r="M112">
            <v>180</v>
          </cell>
          <cell r="N112" t="str">
            <v>A-1-0-2-12-01</v>
          </cell>
          <cell r="O112" t="str">
            <v xml:space="preserve">$ - </v>
          </cell>
          <cell r="P112">
            <v>49920000</v>
          </cell>
          <cell r="Q112">
            <v>0</v>
          </cell>
          <cell r="R112">
            <v>181</v>
          </cell>
          <cell r="S112">
            <v>45817</v>
          </cell>
          <cell r="T112" t="str">
            <v>VIGENTE</v>
          </cell>
          <cell r="U112" t="str">
            <v>NO</v>
          </cell>
          <cell r="V112" t="str">
            <v>DIRECCIÓN PARA LA DEMOCRATIZACIÓN DE ACTIVOS INMUEBLES URBANOS</v>
          </cell>
          <cell r="W112" t="str">
            <v xml:space="preserve">HEINER DE JESUS GAITAN PARRA </v>
          </cell>
        </row>
        <row r="113">
          <cell r="B113" t="str">
            <v>193-2024</v>
          </cell>
          <cell r="C113">
            <v>45623</v>
          </cell>
          <cell r="D113" t="str">
            <v>SANDRA PAOLA PEÑALOZA ROJAS</v>
          </cell>
          <cell r="E113">
            <v>53891860</v>
          </cell>
          <cell r="F113" t="str">
            <v xml:space="preserve">PRESTACIÓN DE SERVICIOS </v>
          </cell>
          <cell r="G113" t="str">
            <v>CONTRATACIÓN DIRECTA</v>
          </cell>
          <cell r="H113" t="str">
            <v>Prestación de servicios profesionales para el desarrollo del componente social en la implementación y aplicación de los mecanismos de disposición temporal y definitiva de los inmuebles no sociales administrados por la Sociedad de Activos Especiales SAS (SAE)</v>
          </cell>
          <cell r="I113">
            <v>45624</v>
          </cell>
          <cell r="J113">
            <v>45804</v>
          </cell>
          <cell r="K113" t="str">
            <v>FRISCO</v>
          </cell>
          <cell r="L113">
            <v>42900000</v>
          </cell>
          <cell r="M113">
            <v>180</v>
          </cell>
          <cell r="N113" t="str">
            <v>A-1-0-2-12-01</v>
          </cell>
          <cell r="O113" t="str">
            <v xml:space="preserve">$ - </v>
          </cell>
          <cell r="P113">
            <v>42900000</v>
          </cell>
          <cell r="Q113">
            <v>0</v>
          </cell>
          <cell r="R113">
            <v>180</v>
          </cell>
          <cell r="S113">
            <v>45804</v>
          </cell>
          <cell r="T113" t="str">
            <v>VIGENTE</v>
          </cell>
          <cell r="U113" t="str">
            <v>NO</v>
          </cell>
          <cell r="V113" t="str">
            <v>DIRECCIÓN PARA LA DEMOCRATIZACIÓN DE ACTIVOS INMUEBLES URBANOS</v>
          </cell>
          <cell r="W113" t="str">
            <v xml:space="preserve">HEINER DE JESUS GAITAN PARRA </v>
          </cell>
        </row>
        <row r="114">
          <cell r="B114" t="str">
            <v>194-2024</v>
          </cell>
          <cell r="C114">
            <v>45624</v>
          </cell>
          <cell r="D114" t="str">
            <v xml:space="preserve">MODEERLINE S.A.S </v>
          </cell>
          <cell r="E114" t="str">
            <v>830036940-5</v>
          </cell>
          <cell r="F114" t="str">
            <v xml:space="preserve">SUMINISTRO </v>
          </cell>
          <cell r="G114" t="str">
            <v>SUBASTA INVERSA</v>
          </cell>
          <cell r="H114" t="str">
            <v>Contratar la adquisición e instalación de mobiliario de oficina para la Sociedad de Activos Especiales S.A.S. a nivel nacional</v>
          </cell>
          <cell r="I114">
            <v>45630</v>
          </cell>
          <cell r="J114">
            <v>45994</v>
          </cell>
          <cell r="K114" t="str">
            <v>SAE</v>
          </cell>
          <cell r="L114">
            <v>2146404785</v>
          </cell>
          <cell r="M114">
            <v>364</v>
          </cell>
          <cell r="N114" t="str">
            <v>A-2-0-4-02-02</v>
          </cell>
          <cell r="O114" t="str">
            <v xml:space="preserve">$ - </v>
          </cell>
          <cell r="P114">
            <v>2146404785</v>
          </cell>
          <cell r="Q114">
            <v>0</v>
          </cell>
          <cell r="R114">
            <v>364</v>
          </cell>
          <cell r="S114">
            <v>45994</v>
          </cell>
          <cell r="T114" t="str">
            <v>VIGENTE</v>
          </cell>
          <cell r="U114" t="str">
            <v>SI</v>
          </cell>
          <cell r="V114" t="str">
            <v>DIRECCIÓN ADMINISTRATIVA</v>
          </cell>
          <cell r="W114" t="str">
            <v>DIANA ROCÍO MARTÍNEZ CABRERA</v>
          </cell>
        </row>
        <row r="115">
          <cell r="B115" t="str">
            <v>195-2024</v>
          </cell>
          <cell r="C115">
            <v>45624</v>
          </cell>
          <cell r="D115" t="str">
            <v xml:space="preserve">INGENIERIA AMBIENTE Y SILVICULTURA CONSTRUCCIONES CIVILES S.A.S </v>
          </cell>
          <cell r="E115" t="str">
            <v>900.119.778-9</v>
          </cell>
          <cell r="F115" t="str">
            <v>MANTENIMIENTO Y/O REPARACIÓN</v>
          </cell>
          <cell r="G115" t="str">
            <v>CONVOCATORIA PÚBLICA</v>
          </cell>
          <cell r="H115" t="str">
            <v>Contratar la prestación e Servicios de Reparación, Obras y Mantenimiento (ROM) y otros arreglos locativos para los inmuebles a cargo de la Dirección Administrativa de la SAE SAS, a nivel nacional</v>
          </cell>
          <cell r="I115">
            <v>45635</v>
          </cell>
          <cell r="J115">
            <v>46729</v>
          </cell>
          <cell r="K115" t="str">
            <v>SAE</v>
          </cell>
          <cell r="L115">
            <v>6023392573</v>
          </cell>
          <cell r="M115">
            <v>1094</v>
          </cell>
          <cell r="N115" t="str">
            <v>A-2-0-4-05-01</v>
          </cell>
          <cell r="O115" t="str">
            <v xml:space="preserve">$ - </v>
          </cell>
          <cell r="P115">
            <v>6023392573</v>
          </cell>
          <cell r="Q115">
            <v>0</v>
          </cell>
          <cell r="R115">
            <v>1094</v>
          </cell>
          <cell r="S115">
            <v>46729</v>
          </cell>
          <cell r="T115" t="str">
            <v>VIGENTE</v>
          </cell>
          <cell r="U115">
            <v>0</v>
          </cell>
          <cell r="V115" t="str">
            <v>DIRECCIÓN ADMINISTRATIVA</v>
          </cell>
          <cell r="W115" t="str">
            <v>DIANA ROCÍO MARTÍNEZ CABRERA</v>
          </cell>
        </row>
        <row r="116">
          <cell r="B116" t="str">
            <v>196-2024</v>
          </cell>
          <cell r="C116">
            <v>45622</v>
          </cell>
          <cell r="D116" t="str">
            <v>IVAN DARIO RODRIGUEZ PINZON</v>
          </cell>
          <cell r="E116">
            <v>80194960</v>
          </cell>
          <cell r="F116" t="str">
            <v>PRESTACIÓN DE SERVICIOS</v>
          </cell>
          <cell r="G116" t="str">
            <v>CONTRATACIÓN DIRECTA</v>
          </cell>
          <cell r="H116" t="str">
            <v>Prestación de servicios profesionales para el desarrollo del componente jurídico en la implementación y aplicación de los mecanismos de disposición temporal y definitiva de los inmuebles no sociales administrados por la Sociedad de Activos Especiales SAS (SAE)</v>
          </cell>
          <cell r="I116">
            <v>45625</v>
          </cell>
          <cell r="J116">
            <v>45805</v>
          </cell>
          <cell r="K116" t="str">
            <v>FRISCO</v>
          </cell>
          <cell r="L116">
            <v>49920000</v>
          </cell>
          <cell r="M116">
            <v>180</v>
          </cell>
          <cell r="N116" t="str">
            <v>A-1-0-2-12-01</v>
          </cell>
          <cell r="O116" t="str">
            <v xml:space="preserve">$ - </v>
          </cell>
          <cell r="P116">
            <v>49920000</v>
          </cell>
          <cell r="Q116">
            <v>0</v>
          </cell>
          <cell r="R116">
            <v>180</v>
          </cell>
          <cell r="S116">
            <v>45805</v>
          </cell>
          <cell r="T116" t="str">
            <v>VIGENTE</v>
          </cell>
          <cell r="U116" t="str">
            <v>NO</v>
          </cell>
          <cell r="V116" t="str">
            <v>DIRECCIÓN PARA LA DEMOCRATIZACIÓN DE ACTIVOS INMUEBLES URBANOS</v>
          </cell>
          <cell r="W116" t="str">
            <v xml:space="preserve">HEINER DE JESUS GAITAN PARRA </v>
          </cell>
        </row>
        <row r="117">
          <cell r="B117" t="str">
            <v>197-2024</v>
          </cell>
          <cell r="C117">
            <v>45622</v>
          </cell>
          <cell r="D117" t="str">
            <v>JESUS LEONARDO SATIVA JAIMES</v>
          </cell>
          <cell r="E117">
            <v>74381242</v>
          </cell>
          <cell r="F117" t="str">
            <v>PRESTACIÓN DE SERVICIOS</v>
          </cell>
          <cell r="G117" t="str">
            <v>CONTRATACIÓN DIRECTA</v>
          </cell>
          <cell r="H117" t="str">
            <v>Prestación de servicios profesionales para el desarrollo del componente jurídico en la implementación y aplicación de los mecanismos de disposición temporal y definitiva de los inmuebles no sociales administrados por la Sociedad de Activos Especiales SAS (SAE)</v>
          </cell>
          <cell r="I117">
            <v>45624</v>
          </cell>
          <cell r="J117">
            <v>45804</v>
          </cell>
          <cell r="K117" t="str">
            <v>FRISCO</v>
          </cell>
          <cell r="L117">
            <v>49920000</v>
          </cell>
          <cell r="M117">
            <v>180</v>
          </cell>
          <cell r="N117" t="str">
            <v>A-1-0-2-12-01</v>
          </cell>
          <cell r="O117" t="str">
            <v xml:space="preserve">$ - </v>
          </cell>
          <cell r="P117">
            <v>49920000</v>
          </cell>
          <cell r="Q117">
            <v>0</v>
          </cell>
          <cell r="R117">
            <v>180</v>
          </cell>
          <cell r="S117">
            <v>45804</v>
          </cell>
          <cell r="T117" t="str">
            <v>VIGENTE</v>
          </cell>
          <cell r="U117" t="str">
            <v>NO</v>
          </cell>
          <cell r="V117" t="str">
            <v>DIRECCIÓN PARA LA DEMOCRATIZACIÓN DE ACTIVOS INMUEBLES URBANOS</v>
          </cell>
          <cell r="W117" t="str">
            <v xml:space="preserve">HEINER DE JESUS GAITAN PARRA </v>
          </cell>
        </row>
        <row r="118">
          <cell r="B118" t="str">
            <v>201-2024</v>
          </cell>
          <cell r="C118">
            <v>45624</v>
          </cell>
          <cell r="D118" t="str">
            <v>ASESORIAS VEGA MARTINEZ SAS</v>
          </cell>
          <cell r="E118" t="str">
            <v>800.148.262-1</v>
          </cell>
          <cell r="F118" t="str">
            <v>PRESTACIÓN DE SERVICIOS</v>
          </cell>
          <cell r="G118" t="str">
            <v>CONVOCATORIA PÚBLICA</v>
          </cell>
          <cell r="H118" t="str">
            <v>Contratar el estudio del mercado inmobiliario para el suministro de información y monitoreo a nivel nacional de los inmuebles usados para los segmentos de oficinas, bodegas, locales, apartamentos y casas en estado de alquiler y venta.</v>
          </cell>
          <cell r="I118">
            <v>45629</v>
          </cell>
          <cell r="J118">
            <v>45993</v>
          </cell>
          <cell r="K118" t="str">
            <v>FRISCO</v>
          </cell>
          <cell r="L118">
            <v>1263294029</v>
          </cell>
          <cell r="M118">
            <v>364</v>
          </cell>
          <cell r="N118" t="str">
            <v>A-2-0-4-41-04</v>
          </cell>
          <cell r="O118" t="str">
            <v xml:space="preserve">$ - </v>
          </cell>
          <cell r="P118">
            <v>1263294029</v>
          </cell>
          <cell r="Q118">
            <v>0</v>
          </cell>
          <cell r="R118">
            <v>364</v>
          </cell>
          <cell r="S118">
            <v>45993</v>
          </cell>
          <cell r="T118" t="str">
            <v>VIGENTE</v>
          </cell>
          <cell r="U118">
            <v>0</v>
          </cell>
          <cell r="V118" t="str">
            <v>DIRECCIÓN COMERCIAL</v>
          </cell>
          <cell r="W118">
            <v>0</v>
          </cell>
        </row>
        <row r="119">
          <cell r="B119" t="str">
            <v>202-2024</v>
          </cell>
          <cell r="C119">
            <v>45622</v>
          </cell>
          <cell r="D119" t="str">
            <v>ANDRES RICARDO JIMENEZ CASTILLO</v>
          </cell>
          <cell r="E119">
            <v>80769508</v>
          </cell>
          <cell r="F119" t="str">
            <v>PRESTACIÓN DE SERVICIOS</v>
          </cell>
          <cell r="G119" t="str">
            <v>CONTRATACIÓN DIRECTA</v>
          </cell>
          <cell r="H119" t="str">
            <v>Prestación de servicios profesionales para el desarrollo del componente social en la implementación y aplicación de los mecanismos de disposición temporal y definitiva de los inmuebles no sociales administrados por la Sociedad de Activos Especiales SAS</v>
          </cell>
          <cell r="I119">
            <v>45617</v>
          </cell>
          <cell r="J119">
            <v>45797</v>
          </cell>
          <cell r="K119" t="str">
            <v>FRISCO</v>
          </cell>
          <cell r="L119">
            <v>49920000</v>
          </cell>
          <cell r="M119">
            <v>180</v>
          </cell>
          <cell r="N119" t="str">
            <v>A-1-0-2-12-01</v>
          </cell>
          <cell r="O119" t="str">
            <v xml:space="preserve">$ - </v>
          </cell>
          <cell r="P119">
            <v>49920000</v>
          </cell>
          <cell r="Q119">
            <v>0</v>
          </cell>
          <cell r="R119">
            <v>180</v>
          </cell>
          <cell r="S119">
            <v>45797</v>
          </cell>
          <cell r="T119" t="str">
            <v>VIGENTE</v>
          </cell>
          <cell r="U119">
            <v>0</v>
          </cell>
          <cell r="V119" t="str">
            <v>DIRECCIÓN PARA LA DEMOCRATIZACIÓN DE ACTIVOS INMUEBLES URBANOS</v>
          </cell>
          <cell r="W119" t="str">
            <v xml:space="preserve">HEINER DE JESUS GAITAN PARRA </v>
          </cell>
        </row>
        <row r="120">
          <cell r="B120" t="str">
            <v>203-2024</v>
          </cell>
          <cell r="C120">
            <v>45630</v>
          </cell>
          <cell r="D120" t="str">
            <v>GISSELLA MARIA PARDO GIRALDO</v>
          </cell>
          <cell r="E120">
            <v>1010206064</v>
          </cell>
          <cell r="F120" t="str">
            <v>PRESTACIÓN DE SERVICIOS</v>
          </cell>
          <cell r="G120" t="str">
            <v>CONTRATACIÓN DIRECTA</v>
          </cell>
          <cell r="H120" t="str">
            <v>Prestación de servicios profesionales para desarrollar el componente jurídico en la implementación y aplicación de los mecanismos de disposición temporal y definitiva de los inmuebles no sociales administrados por la Sociedad de Activos Especiales SAS (SAE).</v>
          </cell>
          <cell r="I120">
            <v>45631</v>
          </cell>
          <cell r="J120">
            <v>45812</v>
          </cell>
          <cell r="K120" t="str">
            <v>FRISCO</v>
          </cell>
          <cell r="L120">
            <v>42900000</v>
          </cell>
          <cell r="M120">
            <v>181</v>
          </cell>
          <cell r="N120" t="str">
            <v>A-1-0-2-12-01</v>
          </cell>
          <cell r="O120" t="str">
            <v xml:space="preserve">$ - </v>
          </cell>
          <cell r="P120">
            <v>42900000</v>
          </cell>
          <cell r="Q120">
            <v>0</v>
          </cell>
          <cell r="R120">
            <v>181</v>
          </cell>
          <cell r="S120">
            <v>45812</v>
          </cell>
          <cell r="T120" t="str">
            <v>VIGENTE</v>
          </cell>
          <cell r="U120" t="str">
            <v>NO</v>
          </cell>
          <cell r="V120" t="str">
            <v>DIRECCIÓN PARA LA DEMOCRATIZACIÓN DE ACTIVOS INMUEBLES URBANOS</v>
          </cell>
          <cell r="W120" t="str">
            <v xml:space="preserve">HEINER DE JESUS GAITAN PARRA </v>
          </cell>
        </row>
        <row r="121">
          <cell r="B121" t="str">
            <v>204-2024</v>
          </cell>
          <cell r="C121">
            <v>45630</v>
          </cell>
          <cell r="D121" t="str">
            <v>JUAN CAMILO DÍAZ MOYA</v>
          </cell>
          <cell r="E121">
            <v>80056935</v>
          </cell>
          <cell r="F121" t="str">
            <v>PRESTACIÓN DE SERVICIOS</v>
          </cell>
          <cell r="G121" t="str">
            <v>CONTRATACIÓN DIRECTA</v>
          </cell>
          <cell r="H121" t="str">
            <v>Prestación de servicios profesionales especializados para coordinar y asesorar la implementación y aplicación de los mecanismos de disposición temporal y definitiva de los inmuebles no sociales administrados por la Sociedad de Activos Especiales SAS (SAE).</v>
          </cell>
          <cell r="I121">
            <v>45631</v>
          </cell>
          <cell r="J121">
            <v>45812</v>
          </cell>
          <cell r="K121" t="str">
            <v>FRISCO</v>
          </cell>
          <cell r="L121">
            <v>67860000</v>
          </cell>
          <cell r="M121">
            <v>181</v>
          </cell>
          <cell r="N121" t="str">
            <v>A-1-0-2-12-01</v>
          </cell>
          <cell r="O121" t="str">
            <v xml:space="preserve">$ - </v>
          </cell>
          <cell r="P121">
            <v>67860000</v>
          </cell>
          <cell r="Q121">
            <v>0</v>
          </cell>
          <cell r="R121">
            <v>181</v>
          </cell>
          <cell r="S121">
            <v>45812</v>
          </cell>
          <cell r="T121" t="str">
            <v>VIGENTE</v>
          </cell>
          <cell r="U121" t="str">
            <v>NO</v>
          </cell>
          <cell r="V121" t="str">
            <v>DIRECCIÓN PARA LA DEMOCRATIZACIÓN DE ACTIVOS INMUEBLES URBANOS</v>
          </cell>
          <cell r="W121" t="str">
            <v xml:space="preserve">HEINER DE JESUS GAITAN PARRA </v>
          </cell>
        </row>
        <row r="122">
          <cell r="B122" t="str">
            <v>205-2024</v>
          </cell>
          <cell r="C122">
            <v>45656</v>
          </cell>
          <cell r="D122" t="str">
            <v>AGROINDUSTRIA RENACER</v>
          </cell>
          <cell r="E122" t="str">
            <v>900265408-3</v>
          </cell>
          <cell r="F122" t="str">
            <v>PRESTACIÓN DE SERVICIOS</v>
          </cell>
          <cell r="G122" t="str">
            <v>CONVOCATORIA PÚBLICA CP-05-2024</v>
          </cell>
          <cell r="H122" t="str">
            <v>Contratar la prestación de los servicios de transporte, operación logística necesaria para la recepción, custodia, manutención, cuidado, marcaje, sostenimiento, pesaje y gestiones de intermediación comercial, de los semovientes que estén bajo la administración de la Sociedad de Activos Especiales SAS y ejercer la administración de los inmuebles en los cuales se ubican estos</v>
          </cell>
          <cell r="I122">
            <v>45684</v>
          </cell>
          <cell r="J122">
            <v>46413</v>
          </cell>
          <cell r="K122" t="str">
            <v>FRISCO</v>
          </cell>
          <cell r="L122">
            <v>4816572827</v>
          </cell>
          <cell r="M122">
            <v>729</v>
          </cell>
          <cell r="N122" t="str">
            <v>A-2-0-4-41-13</v>
          </cell>
          <cell r="O122" t="str">
            <v xml:space="preserve">$ - </v>
          </cell>
          <cell r="P122">
            <v>4816572827</v>
          </cell>
          <cell r="Q122">
            <v>0</v>
          </cell>
          <cell r="R122">
            <v>729</v>
          </cell>
          <cell r="S122">
            <v>46413</v>
          </cell>
          <cell r="T122" t="str">
            <v>VIGENTE</v>
          </cell>
          <cell r="U122">
            <v>0</v>
          </cell>
          <cell r="V122" t="str">
            <v>DIRECCIÓN PARA LA DEMOCRATIZACIÓN DE ACTIVOS MUEBLES</v>
          </cell>
          <cell r="W122" t="str">
            <v>JOSE IGNACIO ALEMÁN BUITRAGO</v>
          </cell>
        </row>
        <row r="123">
          <cell r="N123" t="str">
            <v>A-8-3-9-08-01</v>
          </cell>
        </row>
        <row r="124">
          <cell r="B124" t="str">
            <v>206-2024</v>
          </cell>
          <cell r="C124">
            <v>45644</v>
          </cell>
          <cell r="D124" t="str">
            <v>FUNDOCOL</v>
          </cell>
          <cell r="E124" t="str">
            <v>805031161-0</v>
          </cell>
          <cell r="F124" t="str">
            <v>PRESTACIÓN DE SERVICIOS</v>
          </cell>
          <cell r="G124" t="str">
            <v>CONVOCATORIA PÚBLICA</v>
          </cell>
          <cell r="H124" t="str">
            <v>Prestar servicios de operación logístifica integral para la materialización de la políticia de Responsabilidad Social Empresarial de la Sociedad de Activos Especiales S.A.S</v>
          </cell>
          <cell r="I124">
            <v>45646</v>
          </cell>
          <cell r="J124">
            <v>46010</v>
          </cell>
          <cell r="K124" t="str">
            <v>SAE</v>
          </cell>
          <cell r="L124">
            <v>2700000000</v>
          </cell>
          <cell r="M124">
            <v>364</v>
          </cell>
          <cell r="N124" t="str">
            <v>A-2-0-4-21-04</v>
          </cell>
          <cell r="O124" t="str">
            <v xml:space="preserve">$ - </v>
          </cell>
          <cell r="P124">
            <v>2700000000</v>
          </cell>
          <cell r="Q124">
            <v>0</v>
          </cell>
          <cell r="R124">
            <v>364</v>
          </cell>
          <cell r="S124">
            <v>46010</v>
          </cell>
          <cell r="T124" t="str">
            <v>VIGENTE</v>
          </cell>
          <cell r="U124">
            <v>0</v>
          </cell>
          <cell r="V124" t="str">
            <v>VICEPRESIDENCIA CORPORATIVA</v>
          </cell>
          <cell r="W124" t="str">
            <v>AURA ELVIRA GÓMEZ MARTÍNEZ</v>
          </cell>
        </row>
        <row r="125">
          <cell r="B125" t="str">
            <v>207-2024</v>
          </cell>
          <cell r="C125">
            <v>45657</v>
          </cell>
          <cell r="D125" t="str">
            <v>MERY JANNETH GUTIERREZ CABEZAS</v>
          </cell>
          <cell r="E125">
            <v>52032137</v>
          </cell>
          <cell r="F125" t="str">
            <v>PRESTACIÓN DE SERVICIOS</v>
          </cell>
          <cell r="G125" t="str">
            <v>CONTRATACIÓN DIRECTA</v>
          </cell>
          <cell r="H125" t="str">
            <v>Prestar servicios profesionales expertos a la Presidencia de la Sociedad de Activos Especiales S.A.S. (SAE), como asesor integral en derecho contractual, relaciones jurídico-negociales, gerencia y tecnologías de la información TIC, con el fin de optimizar los procesos comerciales, mitigar riesgos jurídicos, apoyar la implementar estrategias de protección de activos digitales de la entidad</v>
          </cell>
          <cell r="I125">
            <v>45660</v>
          </cell>
          <cell r="J125">
            <v>46021</v>
          </cell>
          <cell r="K125" t="str">
            <v>SAE</v>
          </cell>
          <cell r="L125">
            <v>234000000</v>
          </cell>
          <cell r="M125">
            <v>361</v>
          </cell>
          <cell r="N125" t="str">
            <v>A-1-0-2-12-01</v>
          </cell>
          <cell r="O125" t="str">
            <v xml:space="preserve">$ - </v>
          </cell>
          <cell r="P125">
            <v>234000000</v>
          </cell>
          <cell r="Q125">
            <v>0</v>
          </cell>
          <cell r="R125">
            <v>361</v>
          </cell>
          <cell r="S125">
            <v>46021</v>
          </cell>
          <cell r="T125" t="str">
            <v>VIGENTE</v>
          </cell>
          <cell r="U125">
            <v>0</v>
          </cell>
          <cell r="V125" t="str">
            <v>VICEPRESIDENCIA CORPORATIVA</v>
          </cell>
          <cell r="W125" t="str">
            <v>AURA ELVIRA GÓMEZ MARTÍNEZ</v>
          </cell>
        </row>
        <row r="126">
          <cell r="B126" t="str">
            <v>001-2025</v>
          </cell>
          <cell r="C126">
            <v>45679</v>
          </cell>
          <cell r="D126" t="str">
            <v>JUAN CARLOS GIRALDO PALOMO - CESIÓN</v>
          </cell>
          <cell r="E126">
            <v>79292877</v>
          </cell>
          <cell r="F126" t="str">
            <v>PRESTACIÓN DE SERVICIOS</v>
          </cell>
          <cell r="G126" t="str">
            <v>CONTRATACIÓN DIRECTA</v>
          </cell>
          <cell r="H126" t="str">
            <v>Prestar servicios profesionales expertos con autonomía técnica y administrativa, para asesorar y hacer seguimiento a las actividades relacionadas con la planeación, creación y difusión de contenidos periodísticos y de divulgación, de acuerdo con proceso de comunicación estratégica de la SAE</v>
          </cell>
          <cell r="I126">
            <v>45681</v>
          </cell>
          <cell r="J126">
            <v>46022</v>
          </cell>
          <cell r="K126" t="str">
            <v>FRISCO</v>
          </cell>
          <cell r="L126">
            <v>240909500</v>
          </cell>
          <cell r="M126">
            <v>341</v>
          </cell>
          <cell r="N126" t="str">
            <v>A-8-3-9-10-01</v>
          </cell>
          <cell r="O126" t="str">
            <v xml:space="preserve">$ - </v>
          </cell>
          <cell r="P126">
            <v>240909500</v>
          </cell>
          <cell r="Q126">
            <v>0</v>
          </cell>
          <cell r="R126">
            <v>341</v>
          </cell>
          <cell r="S126">
            <v>46022</v>
          </cell>
          <cell r="T126" t="str">
            <v>VIGENTE</v>
          </cell>
          <cell r="U126" t="str">
            <v>NO</v>
          </cell>
          <cell r="V126" t="str">
            <v>VICEPRESIDENCIA CORPORATIVA</v>
          </cell>
          <cell r="W126" t="str">
            <v>AURA ELVIRA GÓMEZ MARTÍNEZ</v>
          </cell>
        </row>
        <row r="127">
          <cell r="B127" t="str">
            <v>002-2025</v>
          </cell>
          <cell r="C127">
            <v>45681</v>
          </cell>
          <cell r="D127" t="str">
            <v>ANDRÉS FELIPE SALAZAR CHARRY</v>
          </cell>
          <cell r="E127">
            <v>1026579378</v>
          </cell>
          <cell r="F127" t="str">
            <v>PRESTACIÓN DE SERVICIOS</v>
          </cell>
          <cell r="G127" t="str">
            <v>CONTRATACIÓN DIRECTA</v>
          </cell>
          <cell r="H127" t="str">
            <v>Prestar servicios profesionales, con autonomía técnica y administrativa, a la Sociedad de Activos Especiales, para generar espacios de coordinación con los diferentes entes de control y entidades externas.</v>
          </cell>
          <cell r="I127">
            <v>45685</v>
          </cell>
          <cell r="J127">
            <v>46022</v>
          </cell>
          <cell r="K127" t="str">
            <v>FRISCO</v>
          </cell>
          <cell r="L127">
            <v>158777190</v>
          </cell>
          <cell r="M127">
            <v>337</v>
          </cell>
          <cell r="N127" t="str">
            <v>A-8-3-9-10-01</v>
          </cell>
          <cell r="O127" t="str">
            <v xml:space="preserve">$ - </v>
          </cell>
          <cell r="P127">
            <v>158777190</v>
          </cell>
          <cell r="Q127">
            <v>0</v>
          </cell>
          <cell r="R127">
            <v>337</v>
          </cell>
          <cell r="S127">
            <v>46022</v>
          </cell>
          <cell r="T127" t="str">
            <v>VIGENTE</v>
          </cell>
          <cell r="U127" t="str">
            <v>NO</v>
          </cell>
          <cell r="V127" t="str">
            <v>VICEPRESIDENCIA CORPORATIVA</v>
          </cell>
          <cell r="W127" t="str">
            <v>AURA ELVIRA GÓMEZ MARTÍNEZ</v>
          </cell>
        </row>
        <row r="128">
          <cell r="B128" t="str">
            <v>004-2025</v>
          </cell>
          <cell r="C128">
            <v>45694</v>
          </cell>
          <cell r="D128" t="str">
            <v>JAIME DAVID GÓMEZ CORTÉS</v>
          </cell>
          <cell r="E128">
            <v>1032424476</v>
          </cell>
          <cell r="F128" t="str">
            <v>PRESTACIÓN DE SERVICIOS</v>
          </cell>
          <cell r="G128" t="str">
            <v>CONTRATACIÓN DIRECTA</v>
          </cell>
          <cell r="H128" t="str">
            <v>Prestar servicios profesionales con autonomía técnica y administrativa, para la elaboración de conceptos, así como la estructuración de respuestas a los diferentes requerimientos y peticiones presentadas ante la Sociedad de Activos especiales.</v>
          </cell>
          <cell r="I128">
            <v>45699</v>
          </cell>
          <cell r="J128">
            <v>46022</v>
          </cell>
          <cell r="K128" t="str">
            <v>FRISCO</v>
          </cell>
          <cell r="L128">
            <v>155019150</v>
          </cell>
          <cell r="M128">
            <v>323</v>
          </cell>
          <cell r="N128" t="str">
            <v>A-8-3-9-10-01</v>
          </cell>
          <cell r="O128" t="str">
            <v xml:space="preserve">$ - </v>
          </cell>
          <cell r="P128">
            <v>155019150</v>
          </cell>
          <cell r="Q128">
            <v>0</v>
          </cell>
          <cell r="R128">
            <v>323</v>
          </cell>
          <cell r="S128">
            <v>46022</v>
          </cell>
          <cell r="T128" t="str">
            <v>VIGENTE</v>
          </cell>
          <cell r="U128" t="str">
            <v>SI</v>
          </cell>
          <cell r="V128" t="str">
            <v>VICEPRESIDENCIA CORPORATIVA</v>
          </cell>
          <cell r="W128" t="str">
            <v>AMELIA PÉREZ PARRA</v>
          </cell>
        </row>
        <row r="129">
          <cell r="B129" t="str">
            <v>006-2025</v>
          </cell>
          <cell r="C129">
            <v>45706</v>
          </cell>
          <cell r="D129" t="str">
            <v>ADRIANA PAOLA CASTRILLO CASTELBLANCO</v>
          </cell>
          <cell r="E129">
            <v>53905406</v>
          </cell>
          <cell r="F129" t="str">
            <v>PRESTACIÓN DE SERVICIOS</v>
          </cell>
          <cell r="G129" t="str">
            <v>CONTRATACIÓN DIRECTA</v>
          </cell>
          <cell r="H129" t="str">
            <v>Prestar servicios profesionales con autonomía técnica y administrativa, para apoyar a la Vicepresidencia Corporativa en los temas propios de su gestión.</v>
          </cell>
          <cell r="I129">
            <v>45707</v>
          </cell>
          <cell r="J129">
            <v>45887</v>
          </cell>
          <cell r="K129" t="str">
            <v>SAE</v>
          </cell>
          <cell r="L129">
            <v>54600000</v>
          </cell>
          <cell r="M129">
            <v>180</v>
          </cell>
          <cell r="N129" t="str">
            <v>A-8-3-9-10-01</v>
          </cell>
          <cell r="O129" t="str">
            <v xml:space="preserve">$ - </v>
          </cell>
          <cell r="P129">
            <v>54600000</v>
          </cell>
          <cell r="Q129">
            <v>0</v>
          </cell>
          <cell r="R129">
            <v>180</v>
          </cell>
          <cell r="S129">
            <v>45887</v>
          </cell>
          <cell r="T129" t="str">
            <v>VIGENTE</v>
          </cell>
          <cell r="U129" t="str">
            <v>SI</v>
          </cell>
          <cell r="V129" t="str">
            <v>VICEPRESIDENCIA CORPORATIVA</v>
          </cell>
          <cell r="W129" t="str">
            <v>AURA ELVIRA GÓMEZ MARTÍNEZ</v>
          </cell>
        </row>
        <row r="130">
          <cell r="B130" t="str">
            <v>007-2025</v>
          </cell>
          <cell r="C130">
            <v>45702</v>
          </cell>
          <cell r="D130" t="str">
            <v>JAIME TAPIAS CARLIER</v>
          </cell>
          <cell r="E130">
            <v>79370027</v>
          </cell>
          <cell r="F130" t="str">
            <v>PRESTACIÓN DE SERVICIOS</v>
          </cell>
          <cell r="G130" t="str">
            <v>CONTRATACIÓN DIRECTA</v>
          </cell>
          <cell r="H130" t="str">
            <v>Prestar servicios profesionales con autonomía técnica y administrativa, para brindar asesoría en temas relacionados con la mitigación de los riesgos empresariales jurídicos derivados de la naturaleza jurídica de la SAE S.A.S y en su condición de administrador del Fondo para la Rehabilitación Social y Lucha contra el Crimen Organizado – FRISCO.</v>
          </cell>
          <cell r="I130">
            <v>45707</v>
          </cell>
          <cell r="J130">
            <v>45887</v>
          </cell>
          <cell r="K130" t="str">
            <v>SAE</v>
          </cell>
          <cell r="L130">
            <v>54600000</v>
          </cell>
          <cell r="M130">
            <v>180</v>
          </cell>
          <cell r="N130" t="str">
            <v>A-8-3-9-10-01</v>
          </cell>
          <cell r="O130" t="str">
            <v xml:space="preserve">$ - </v>
          </cell>
          <cell r="P130">
            <v>54600000</v>
          </cell>
          <cell r="Q130">
            <v>0</v>
          </cell>
          <cell r="R130">
            <v>180</v>
          </cell>
          <cell r="S130">
            <v>45887</v>
          </cell>
          <cell r="T130" t="str">
            <v>VIGENTE</v>
          </cell>
          <cell r="U130" t="str">
            <v>SI</v>
          </cell>
          <cell r="V130" t="str">
            <v>VICEPRESIDENCIA CORPORATIVA</v>
          </cell>
          <cell r="W130" t="str">
            <v>AURA ELVIRA GÓMEZ MARTÍNEZ</v>
          </cell>
        </row>
        <row r="131">
          <cell r="B131" t="str">
            <v>008-2025</v>
          </cell>
          <cell r="C131">
            <v>45706</v>
          </cell>
          <cell r="D131" t="str">
            <v>RAFAEL ALFONSO SANGUINO CANEVA</v>
          </cell>
          <cell r="E131">
            <v>72270970</v>
          </cell>
          <cell r="F131" t="str">
            <v>PRESTACIÓN DE SERVICIOS</v>
          </cell>
          <cell r="G131" t="str">
            <v>CONTRATACIÓN DIRECTA</v>
          </cell>
          <cell r="H131" t="str">
            <v>Prestar servicios profesionales con autonomía técnica y administrativa, para apoyar a la Vicepresidencia Corporativa en los temas propios de su gestión.</v>
          </cell>
          <cell r="I131">
            <v>45707</v>
          </cell>
          <cell r="J131">
            <v>45887</v>
          </cell>
          <cell r="K131" t="str">
            <v>SAE</v>
          </cell>
          <cell r="L131">
            <v>54600000</v>
          </cell>
          <cell r="M131">
            <v>180</v>
          </cell>
          <cell r="N131" t="str">
            <v>A-1-0-2-12-01</v>
          </cell>
          <cell r="O131" t="str">
            <v xml:space="preserve">$ - </v>
          </cell>
          <cell r="P131">
            <v>54600000</v>
          </cell>
          <cell r="Q131">
            <v>0</v>
          </cell>
          <cell r="R131">
            <v>180</v>
          </cell>
          <cell r="S131">
            <v>45887</v>
          </cell>
          <cell r="T131" t="str">
            <v>VIGENTE</v>
          </cell>
          <cell r="U131" t="str">
            <v>SI</v>
          </cell>
          <cell r="V131" t="str">
            <v>VICEPRESIDENCIA CORPORATIVA</v>
          </cell>
          <cell r="W131" t="str">
            <v>AURA ELVIRA GÓMEZ MARTÍNEZ</v>
          </cell>
        </row>
        <row r="132">
          <cell r="B132" t="str">
            <v>009-2025</v>
          </cell>
          <cell r="C132">
            <v>45715</v>
          </cell>
          <cell r="D132" t="str">
            <v>DIANA FERNANDA CANDIA ANGEL</v>
          </cell>
          <cell r="E132">
            <v>53168336</v>
          </cell>
          <cell r="F132" t="str">
            <v>PRESTACIÓN DE SERVICIOS</v>
          </cell>
          <cell r="G132" t="str">
            <v>CONTRATACIÓN DIRECTA</v>
          </cell>
          <cell r="H132" t="str">
            <v>Prestar servicios profesionales con autonomía técnica y administrativa, para apoyar a la Vicepresidencia Corporativa en los temas propios de su gestión.</v>
          </cell>
          <cell r="I132">
            <v>45716</v>
          </cell>
          <cell r="J132">
            <v>45896</v>
          </cell>
          <cell r="K132" t="str">
            <v>SAE</v>
          </cell>
          <cell r="L132">
            <v>54600000</v>
          </cell>
          <cell r="M132">
            <v>180</v>
          </cell>
          <cell r="N132" t="str">
            <v>A-1-0-2-12-01</v>
          </cell>
          <cell r="O132" t="str">
            <v xml:space="preserve">$ - </v>
          </cell>
          <cell r="P132">
            <v>54600000</v>
          </cell>
          <cell r="Q132">
            <v>0</v>
          </cell>
          <cell r="R132">
            <v>180</v>
          </cell>
          <cell r="S132">
            <v>45896</v>
          </cell>
          <cell r="T132" t="str">
            <v>VIGENTE</v>
          </cell>
          <cell r="U132" t="str">
            <v>SI</v>
          </cell>
          <cell r="V132" t="str">
            <v>VICEPRESIDENCIA CORPORATIVA</v>
          </cell>
          <cell r="W132" t="str">
            <v>AURA ELVIRA GÓMEZ MARTÍNEZ</v>
          </cell>
        </row>
        <row r="133">
          <cell r="B133" t="str">
            <v>010-2025</v>
          </cell>
          <cell r="C133">
            <v>45715</v>
          </cell>
          <cell r="D133" t="str">
            <v>LILIANA PAOLA MÁRQUEZ GALINDO</v>
          </cell>
          <cell r="E133">
            <v>1067866926</v>
          </cell>
          <cell r="F133" t="str">
            <v>PRESTACIÓN DE SERVICIOS</v>
          </cell>
          <cell r="G133" t="str">
            <v>CONTRATACIÓN DIRECTA</v>
          </cell>
          <cell r="H133" t="str">
            <v>Prestar servicios profesionales con autonomía técnica y administrativa, para apoyar a la Vicepresidencia Corporativa en los temas propios de su gestión.</v>
          </cell>
          <cell r="I133">
            <v>45716</v>
          </cell>
          <cell r="J133">
            <v>45896</v>
          </cell>
          <cell r="K133" t="str">
            <v>SAE</v>
          </cell>
          <cell r="L133">
            <v>54600000</v>
          </cell>
          <cell r="M133">
            <v>180</v>
          </cell>
          <cell r="N133" t="str">
            <v>A-8-3-9-10-01</v>
          </cell>
          <cell r="O133" t="str">
            <v xml:space="preserve">$ - </v>
          </cell>
          <cell r="P133">
            <v>54600000</v>
          </cell>
          <cell r="Q133">
            <v>0</v>
          </cell>
          <cell r="R133">
            <v>180</v>
          </cell>
          <cell r="S133">
            <v>45896</v>
          </cell>
          <cell r="T133" t="str">
            <v>VIGENTE</v>
          </cell>
          <cell r="U133" t="str">
            <v>SI</v>
          </cell>
          <cell r="V133" t="str">
            <v>VICEPRESIDENCIA CORPORATIVA</v>
          </cell>
          <cell r="W133" t="str">
            <v>AURA ELVIRA GÓMEZ MARTÍNEZ</v>
          </cell>
        </row>
        <row r="134">
          <cell r="B134" t="str">
            <v>011-2025</v>
          </cell>
          <cell r="C134">
            <v>45706</v>
          </cell>
          <cell r="D134" t="str">
            <v>WILSON ALEJANDRO MARTINEZ SANCHEZ</v>
          </cell>
          <cell r="E134">
            <v>79878580</v>
          </cell>
          <cell r="F134" t="str">
            <v>PRESTACIÓN DE SERVICIOS</v>
          </cell>
          <cell r="G134" t="str">
            <v>CONTRATACIÓN DIRECTA</v>
          </cell>
          <cell r="H134" t="str">
            <v>Prestación de servicios profesionales con autonomía técnica y administrativa para acompañamiento a la SAE, en el proceso de revisión normativa que permita consolidar el modelo de aprovechamiento social de los activos ilícitos vinculados a procesos de extinción de dominio, administrados por la SAE, enfocado en el aprovechamiento social de los bienes.</v>
          </cell>
          <cell r="I134">
            <v>45713</v>
          </cell>
          <cell r="J134">
            <v>45801</v>
          </cell>
          <cell r="K134" t="str">
            <v>SAE</v>
          </cell>
          <cell r="L134">
            <v>46000000</v>
          </cell>
          <cell r="M134">
            <v>88</v>
          </cell>
          <cell r="N134" t="str">
            <v>A-8-3-9-10-01</v>
          </cell>
          <cell r="O134" t="str">
            <v xml:space="preserve">$ - </v>
          </cell>
          <cell r="P134">
            <v>46000000</v>
          </cell>
          <cell r="Q134">
            <v>0</v>
          </cell>
          <cell r="R134">
            <v>88</v>
          </cell>
          <cell r="S134">
            <v>45801</v>
          </cell>
          <cell r="T134" t="str">
            <v>VIGENTE</v>
          </cell>
          <cell r="U134" t="str">
            <v>SI</v>
          </cell>
          <cell r="V134" t="str">
            <v>PRESIDENCIA</v>
          </cell>
          <cell r="W134" t="str">
            <v>AMELIA PÉREZ PARRA</v>
          </cell>
        </row>
        <row r="135">
          <cell r="B135" t="str">
            <v>012-2025</v>
          </cell>
          <cell r="C135">
            <v>45721</v>
          </cell>
          <cell r="D135" t="str">
            <v>SAUL ARCADIO REYES CABALLERO</v>
          </cell>
          <cell r="E135">
            <v>19302296</v>
          </cell>
          <cell r="F135" t="str">
            <v>PRESTACIÓN DE SERVICIOS</v>
          </cell>
          <cell r="G135" t="str">
            <v>CONTRATACIÓN DIRECTA</v>
          </cell>
          <cell r="H135" t="str">
            <v>Prestar servicios profesionales con autonomía técnica y administrativa, para brindar asesoría en temas relacionados con la mitigación de los riesgos jurídicos derivados del acompañamiento a las diligencias de incautación para garantizar la calidad y seguridad de la información entregada a la SAE S.A.S en su condición de administrador del fondo para la rehabilitación social y lucha contra el crimen organizado – frisco.</v>
          </cell>
          <cell r="I135">
            <v>45721</v>
          </cell>
          <cell r="J135">
            <v>45904</v>
          </cell>
          <cell r="K135" t="str">
            <v>SAE</v>
          </cell>
          <cell r="L135">
            <v>66000000</v>
          </cell>
          <cell r="M135">
            <v>183</v>
          </cell>
          <cell r="N135" t="str">
            <v>A-8-3-9-10-01</v>
          </cell>
          <cell r="O135" t="str">
            <v xml:space="preserve">$ - </v>
          </cell>
          <cell r="P135">
            <v>66000000</v>
          </cell>
          <cell r="Q135">
            <v>0</v>
          </cell>
          <cell r="R135">
            <v>183</v>
          </cell>
          <cell r="S135">
            <v>45904</v>
          </cell>
          <cell r="T135" t="str">
            <v>VIGENTE</v>
          </cell>
          <cell r="U135" t="str">
            <v>SI</v>
          </cell>
          <cell r="V135" t="str">
            <v>PRESIDENCIA</v>
          </cell>
          <cell r="W135" t="str">
            <v>AMELIA PÉREZ PARRA</v>
          </cell>
        </row>
        <row r="136">
          <cell r="B136" t="str">
            <v>013-2025</v>
          </cell>
          <cell r="C136">
            <v>45715</v>
          </cell>
          <cell r="D136" t="str">
            <v>CARLOS FELIPE USECHE GARCÍA</v>
          </cell>
          <cell r="E136">
            <v>79751666</v>
          </cell>
          <cell r="F136" t="str">
            <v>PRESTACIÓN DE SERVICIOS</v>
          </cell>
          <cell r="G136" t="str">
            <v>CONTRATACIÓN DIRECTA</v>
          </cell>
          <cell r="H136" t="str">
            <v>Prestar servicios profesionales con autonomía técnica y administrativa, para brindar asesoría estratégica jurídica que sea requerida por la SAE S.A.S</v>
          </cell>
          <cell r="I136">
            <v>45721</v>
          </cell>
          <cell r="J136">
            <v>45904</v>
          </cell>
          <cell r="K136" t="str">
            <v>SAE</v>
          </cell>
          <cell r="L136">
            <v>54600000</v>
          </cell>
          <cell r="M136">
            <v>183</v>
          </cell>
          <cell r="N136" t="str">
            <v>A-8-3-9-10-01</v>
          </cell>
          <cell r="O136" t="str">
            <v xml:space="preserve">$ - </v>
          </cell>
          <cell r="P136">
            <v>54600000</v>
          </cell>
          <cell r="Q136">
            <v>0</v>
          </cell>
          <cell r="R136">
            <v>183</v>
          </cell>
          <cell r="S136">
            <v>45904</v>
          </cell>
          <cell r="T136" t="str">
            <v>VIGENTE</v>
          </cell>
          <cell r="U136" t="str">
            <v>SI</v>
          </cell>
          <cell r="V136" t="str">
            <v>OFICINA JURÍDICA</v>
          </cell>
          <cell r="W136" t="str">
            <v>ALEJANDRA TEODORA BEITIA ROJAS</v>
          </cell>
        </row>
        <row r="137">
          <cell r="B137" t="str">
            <v>014-2025</v>
          </cell>
          <cell r="C137">
            <v>45720</v>
          </cell>
          <cell r="D137" t="str">
            <v>ANA MARIA MEDINA CRUZ</v>
          </cell>
          <cell r="E137">
            <v>1001045030</v>
          </cell>
          <cell r="F137" t="str">
            <v>PRESTACIÓN DE SERVICIOS</v>
          </cell>
          <cell r="G137" t="str">
            <v>CONTRATACIÓN DIRECTA</v>
          </cell>
          <cell r="H137" t="str">
            <v>Prestar servicios de apoyo a la gestión con autonomía técnica y administrativa para realizar las actividades operativas transversales de la oficina de integridad, anticorrupción y cumplimiento.</v>
          </cell>
          <cell r="I137">
            <v>45723</v>
          </cell>
          <cell r="J137">
            <v>45907</v>
          </cell>
          <cell r="K137" t="str">
            <v>SAE</v>
          </cell>
          <cell r="L137">
            <v>25623000</v>
          </cell>
          <cell r="M137">
            <v>184</v>
          </cell>
          <cell r="N137" t="str">
            <v>A-8-3-9-10-01</v>
          </cell>
          <cell r="O137" t="str">
            <v xml:space="preserve">$ - </v>
          </cell>
          <cell r="P137">
            <v>25623000</v>
          </cell>
          <cell r="Q137">
            <v>0</v>
          </cell>
          <cell r="R137">
            <v>184</v>
          </cell>
          <cell r="S137">
            <v>45907</v>
          </cell>
          <cell r="T137" t="str">
            <v>VIGENTE</v>
          </cell>
          <cell r="U137" t="str">
            <v>NO</v>
          </cell>
          <cell r="V137" t="str">
            <v>OFICINA DE INTEGRIDAD, ANTICORRUPCIÓN Y CUMPLIMIENTO</v>
          </cell>
          <cell r="W137" t="str">
            <v>DANIEL SEBASTIAN CONTRERAS ORTIZ</v>
          </cell>
        </row>
        <row r="138">
          <cell r="B138" t="str">
            <v>015-2025</v>
          </cell>
          <cell r="C138">
            <v>45720</v>
          </cell>
          <cell r="D138" t="str">
            <v>JUAN DAVID MORENO ROZO</v>
          </cell>
          <cell r="E138">
            <v>1011084207</v>
          </cell>
          <cell r="F138" t="str">
            <v>PRESTACIÓN DE SERVICIOS</v>
          </cell>
          <cell r="G138" t="str">
            <v>CONTRATACIÓN DIRECTA</v>
          </cell>
          <cell r="H138" t="str">
            <v>Prestar servicios de apoyo a la gestión con autonomía técnica y administrativa para realizar las actividades operativas transversales de la oficina de integridad, anticorrupción y cumplimiento.</v>
          </cell>
          <cell r="I138">
            <v>45723</v>
          </cell>
          <cell r="J138">
            <v>45907</v>
          </cell>
          <cell r="K138" t="str">
            <v>SAE</v>
          </cell>
          <cell r="L138">
            <v>25623000</v>
          </cell>
          <cell r="M138">
            <v>184</v>
          </cell>
          <cell r="N138" t="str">
            <v>A-8-3-9-10-01</v>
          </cell>
          <cell r="O138" t="str">
            <v xml:space="preserve">$ - </v>
          </cell>
          <cell r="P138">
            <v>25623000</v>
          </cell>
          <cell r="Q138">
            <v>0</v>
          </cell>
          <cell r="R138">
            <v>184</v>
          </cell>
          <cell r="S138">
            <v>45907</v>
          </cell>
          <cell r="T138" t="str">
            <v>VIGENTE</v>
          </cell>
          <cell r="U138" t="str">
            <v>NO</v>
          </cell>
          <cell r="V138" t="str">
            <v>OFICINA DE INTEGRIDAD, ANTICORRUPCIÓN Y CUMPLIMIENTO</v>
          </cell>
          <cell r="W138" t="str">
            <v>DANIEL SEBASTIAN CONTRERAS ORTIZ</v>
          </cell>
        </row>
        <row r="139">
          <cell r="B139" t="str">
            <v>016-2025</v>
          </cell>
          <cell r="C139">
            <v>45730</v>
          </cell>
          <cell r="D139" t="str">
            <v>LOPEZ &amp; ASOCIADOS S.A.S.</v>
          </cell>
          <cell r="E139" t="str">
            <v>830.118.372-4</v>
          </cell>
          <cell r="F139" t="str">
            <v>PRESTACIÓN DE SERVICIOS</v>
          </cell>
          <cell r="G139" t="str">
            <v>CONTRATACIÓN DIRECTA</v>
          </cell>
          <cell r="H139" t="str">
            <v>Prestar servicios de acompañamiento de forma autonomía técnica y administrativa en materia jurídico laboral a la Dirección de Talento Humano y a la Vicepresidencia Corporativa.</v>
          </cell>
          <cell r="I139">
            <v>45736</v>
          </cell>
          <cell r="J139">
            <v>45796</v>
          </cell>
          <cell r="K139" t="str">
            <v>SAE</v>
          </cell>
          <cell r="L139">
            <v>50818950</v>
          </cell>
          <cell r="M139">
            <v>60</v>
          </cell>
          <cell r="N139" t="str">
            <v>A-8-3-9-10-01</v>
          </cell>
          <cell r="O139" t="str">
            <v xml:space="preserve">$ - </v>
          </cell>
          <cell r="P139">
            <v>50818950</v>
          </cell>
          <cell r="Q139">
            <v>0</v>
          </cell>
          <cell r="R139">
            <v>60</v>
          </cell>
          <cell r="S139">
            <v>45796</v>
          </cell>
          <cell r="T139" t="str">
            <v>VIGENTE</v>
          </cell>
          <cell r="U139" t="str">
            <v>NO</v>
          </cell>
          <cell r="V139" t="str">
            <v>DIRECCIÓN DE TALENTO HUMANO</v>
          </cell>
          <cell r="W139" t="str">
            <v>IVETH SUSANA AYALA RODRIGUEZ</v>
          </cell>
        </row>
        <row r="140">
          <cell r="B140" t="str">
            <v>017-2025</v>
          </cell>
          <cell r="C140">
            <v>45736</v>
          </cell>
          <cell r="D140" t="str">
            <v>KIMBERLY DEL PILAR ZAMBRANO</v>
          </cell>
          <cell r="E140">
            <v>52779009</v>
          </cell>
          <cell r="F140" t="str">
            <v>PRESTACIÓN DE SERVICIOS</v>
          </cell>
          <cell r="G140" t="str">
            <v>CONTRATACIÓN DIRECTA</v>
          </cell>
          <cell r="H140" t="str">
            <v>Prestar servicios profesionales con autonomía técnica y administrativa para acompañar jurídicamente a la vicepresidencia corporativa en el marco de su gestión</v>
          </cell>
          <cell r="I140">
            <v>45741</v>
          </cell>
          <cell r="J140">
            <v>45924</v>
          </cell>
          <cell r="K140" t="str">
            <v>SAE</v>
          </cell>
          <cell r="L140">
            <v>54600000</v>
          </cell>
          <cell r="M140">
            <v>183</v>
          </cell>
          <cell r="N140" t="str">
            <v>A-8-3-9-10-01</v>
          </cell>
          <cell r="O140" t="str">
            <v xml:space="preserve">$ - </v>
          </cell>
          <cell r="P140">
            <v>54600000</v>
          </cell>
          <cell r="Q140">
            <v>0</v>
          </cell>
          <cell r="R140">
            <v>183</v>
          </cell>
          <cell r="S140">
            <v>45924</v>
          </cell>
          <cell r="T140" t="str">
            <v>VIGENTE</v>
          </cell>
          <cell r="U140" t="str">
            <v>NO</v>
          </cell>
          <cell r="V140" t="str">
            <v>VICEPRESIDENCIA CORPORATIVA</v>
          </cell>
          <cell r="W140" t="str">
            <v>AURA ELVIRA GÓMEZ MARTÍNEZ</v>
          </cell>
        </row>
        <row r="141">
          <cell r="B141" t="str">
            <v>023-2025</v>
          </cell>
          <cell r="C141">
            <v>45775</v>
          </cell>
          <cell r="D141" t="str">
            <v>MARIA ANGELICA DEL PILAR ANGULO PAEZ</v>
          </cell>
          <cell r="E141">
            <v>53168170</v>
          </cell>
          <cell r="F141" t="str">
            <v>PRESTACIÓN DE SERVICIOS</v>
          </cell>
          <cell r="G141" t="str">
            <v>CONTRATACIÓN DIRECTA</v>
          </cell>
          <cell r="H141" t="str">
            <v>Prestar servicios profesionales con autonomía técnica y administrativa para acompañar la actualización del mapa de procesos en los asuntos de bienestar, nomina, SST, ciclo de vida, capacitaciones y apoyo a la dirección de talento humano.</v>
          </cell>
          <cell r="I141">
            <v>45777</v>
          </cell>
          <cell r="J141">
            <v>45959</v>
          </cell>
          <cell r="K141" t="str">
            <v>SAE</v>
          </cell>
          <cell r="L141">
            <v>45000000</v>
          </cell>
          <cell r="M141">
            <v>182</v>
          </cell>
          <cell r="N141" t="str">
            <v>A-1-0-2-12-01</v>
          </cell>
          <cell r="O141" t="str">
            <v xml:space="preserve">$ - </v>
          </cell>
          <cell r="P141">
            <v>45000000</v>
          </cell>
          <cell r="Q141">
            <v>0</v>
          </cell>
          <cell r="R141">
            <v>182</v>
          </cell>
          <cell r="S141">
            <v>45959</v>
          </cell>
          <cell r="T141" t="str">
            <v>VIGENTE</v>
          </cell>
          <cell r="U141" t="str">
            <v>NO</v>
          </cell>
          <cell r="V141" t="str">
            <v>DIRECCIÓN DE TALENTO HUMANO</v>
          </cell>
          <cell r="W141" t="str">
            <v>IVETH SUSANA AYALA RODRIGUEZ</v>
          </cell>
        </row>
        <row r="142">
          <cell r="B142" t="str">
            <v>025-2025</v>
          </cell>
          <cell r="C142">
            <v>45771</v>
          </cell>
          <cell r="D142" t="str">
            <v>JOHAN MANUEL CARDONA MORENO</v>
          </cell>
          <cell r="E142">
            <v>1061047863</v>
          </cell>
          <cell r="F142" t="str">
            <v>PRESTACIÓN DE SERVICIOS</v>
          </cell>
          <cell r="G142" t="str">
            <v>CONTRATACIÓN DIRECTA</v>
          </cell>
          <cell r="H142" t="str">
            <v>Prestar servicios profesionales con autonomía técnica y administrativa para estructurar los procesos de contratación que adelante la sociedad de activos especiales S.A.S.</v>
          </cell>
          <cell r="I142">
            <v>45772</v>
          </cell>
          <cell r="J142">
            <v>45954</v>
          </cell>
          <cell r="K142" t="str">
            <v>SAE</v>
          </cell>
          <cell r="L142">
            <v>39672000</v>
          </cell>
          <cell r="M142">
            <v>182</v>
          </cell>
          <cell r="N142" t="str">
            <v>A-1-0-2-12-01</v>
          </cell>
          <cell r="O142" t="str">
            <v xml:space="preserve">$ - </v>
          </cell>
          <cell r="P142">
            <v>39672000</v>
          </cell>
          <cell r="Q142">
            <v>0</v>
          </cell>
          <cell r="R142">
            <v>182</v>
          </cell>
          <cell r="S142">
            <v>45954</v>
          </cell>
          <cell r="T142" t="str">
            <v>VIGENTE</v>
          </cell>
          <cell r="U142" t="str">
            <v>NO</v>
          </cell>
          <cell r="V142" t="str">
            <v>DIRECCIÓN DE CONTRATACIÓN</v>
          </cell>
          <cell r="W142" t="str">
            <v>DIEGO ROMERO RIVERA</v>
          </cell>
        </row>
        <row r="143">
          <cell r="B143" t="str">
            <v>027-2025</v>
          </cell>
          <cell r="C143">
            <v>45769</v>
          </cell>
          <cell r="D143" t="str">
            <v xml:space="preserve">GLADYS YANETH MENDOZA BUITRAGO </v>
          </cell>
          <cell r="E143">
            <v>23965359</v>
          </cell>
          <cell r="F143" t="str">
            <v>PRESTACIÓN DE SERVICIOS</v>
          </cell>
          <cell r="G143" t="str">
            <v>CONTRATACIÓN DIRECTA</v>
          </cell>
          <cell r="H143" t="str">
            <v>Prestar servicios profesionales para brindar asesoría jurídica a la Vicepresidencia Operativa de la SAE S.A.S en los temas propios de su gestión.</v>
          </cell>
          <cell r="I143">
            <v>45770</v>
          </cell>
          <cell r="J143">
            <v>45952</v>
          </cell>
          <cell r="K143" t="str">
            <v>FRISCO</v>
          </cell>
          <cell r="L143">
            <v>84000000</v>
          </cell>
          <cell r="M143">
            <v>182</v>
          </cell>
          <cell r="N143" t="str">
            <v>A-8-3-9-10-01</v>
          </cell>
          <cell r="O143" t="str">
            <v xml:space="preserve">$ - </v>
          </cell>
          <cell r="P143">
            <v>84000000</v>
          </cell>
          <cell r="Q143">
            <v>0</v>
          </cell>
          <cell r="R143">
            <v>182</v>
          </cell>
          <cell r="S143">
            <v>45952</v>
          </cell>
          <cell r="T143" t="str">
            <v>VIGENTE</v>
          </cell>
          <cell r="U143" t="str">
            <v>NO</v>
          </cell>
          <cell r="V143" t="str">
            <v>VICEPRESIDENCIA OPERATIVA</v>
          </cell>
          <cell r="W143" t="str">
            <v>EDUARDO ALONSO BARON GOMEZ</v>
          </cell>
        </row>
        <row r="144">
          <cell r="B144" t="str">
            <v>028-2025</v>
          </cell>
          <cell r="C144">
            <v>45771</v>
          </cell>
          <cell r="D144" t="str">
            <v>JULIO ANDRÉS BAUTISTA ALBARRACÍN</v>
          </cell>
          <cell r="E144">
            <v>1012353867</v>
          </cell>
          <cell r="F144" t="str">
            <v>PRESTACIÓN DE SERVICIOS</v>
          </cell>
          <cell r="G144" t="str">
            <v>CONTRATACIÓN DIRECTA</v>
          </cell>
          <cell r="H144" t="str">
            <v>Prestar servicios profesionales con autonomía técnica y administrativa, para apoyar a la dirección de contratación en los temas propios de su gestión.</v>
          </cell>
          <cell r="I144">
            <v>45775</v>
          </cell>
          <cell r="J144">
            <v>45957</v>
          </cell>
          <cell r="K144" t="str">
            <v>SAE</v>
          </cell>
          <cell r="L144">
            <v>34764000</v>
          </cell>
          <cell r="M144">
            <v>182</v>
          </cell>
          <cell r="N144" t="str">
            <v>A-1-0-2-12-01</v>
          </cell>
          <cell r="O144" t="str">
            <v xml:space="preserve">$ - </v>
          </cell>
          <cell r="P144">
            <v>34764000</v>
          </cell>
          <cell r="Q144">
            <v>0</v>
          </cell>
          <cell r="R144">
            <v>182</v>
          </cell>
          <cell r="S144">
            <v>45957</v>
          </cell>
          <cell r="T144" t="str">
            <v>VIGENTE</v>
          </cell>
          <cell r="U144" t="str">
            <v>NO</v>
          </cell>
          <cell r="V144" t="str">
            <v>DIRECCIÓN DE CONTRATACIÓN</v>
          </cell>
          <cell r="W144" t="str">
            <v>DIEGO ROMERO RIVERA</v>
          </cell>
        </row>
      </sheetData>
      <sheetData sheetId="2" refreshError="1"/>
      <sheetData sheetId="3"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aime Leonardo Gonzalez Aldana" refreshedDate="45793.459823611112" createdVersion="8" refreshedVersion="8" minRefreshableVersion="3" recordCount="139" xr:uid="{7320208D-0975-4C72-9593-5828D3845B90}">
  <cacheSource type="worksheet">
    <worksheetSource ref="A3:AQ142" sheet="PAA 2025 FEBRERO 14"/>
  </cacheSource>
  <cacheFields count="43">
    <cacheField name="Número de Línea" numFmtId="0">
      <sharedItems containsSemiMixedTypes="0" containsString="0" containsNumber="1" containsInteger="1" minValue="1" maxValue="139" count="139">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sharedItems>
    </cacheField>
    <cacheField name="Macrometa_x000a_Dimensión Plataforma Estratégica" numFmtId="0">
      <sharedItems/>
    </cacheField>
    <cacheField name="Objetivo Estratégico" numFmtId="0">
      <sharedItems longText="1"/>
    </cacheField>
    <cacheField name="Linea Presupuesto" numFmtId="0">
      <sharedItems/>
    </cacheField>
    <cacheField name="Linea Plan Contratación" numFmtId="0">
      <sharedItems longText="1"/>
    </cacheField>
    <cacheField name="Tipo de proyecto_x000a_1. Plan de contratación_x000a_2.Transferencias_x000a_3. Cuentas por pagar_x000a_4. Caja menor_x000a_5.Vigencia actual_x000a_6. Vigencia futura" numFmtId="0">
      <sharedItems/>
    </cacheField>
    <cacheField name="Tipo de negocio" numFmtId="0">
      <sharedItems/>
    </cacheField>
    <cacheField name="Cuenta presupuestal" numFmtId="0">
      <sharedItems/>
    </cacheField>
    <cacheField name="Nombre cuenta presupuestal" numFmtId="0">
      <sharedItems/>
    </cacheField>
    <cacheField name="Sub nombre cuenta presupuestal" numFmtId="0">
      <sharedItems/>
    </cacheField>
    <cacheField name="Área" numFmtId="0">
      <sharedItems count="27">
        <s v="DESPACHO PRESIDENCIA"/>
        <s v="DIRECCCIÓN DE GOBIERNO, CONTROL Y DEMOCRATIZACIÓN DE SOCIEDADES"/>
        <s v="DIRECCCIÓN PARA LA DEMOCRATIZACIÓN DE ACTIVOS INMUEBLES RURALES"/>
        <s v="DIRECCCIÓN PARA LA DEMOCRATIZACIÓN DE ACTIVOS INMUEBLES URBANOS"/>
        <s v="DIRECCION ADMINISTRATIVA"/>
        <s v="DIRECCIÓN COMERCIAL"/>
        <s v="DIRECCIÓN DE CONTRATACIÓN"/>
        <s v="DIRECCIÓN DE TALENTO HUMANO"/>
        <s v="DIRECCIÓN FINANCIERA"/>
        <s v="OFICINA DE INTEGRIDAD, ANTICORRUPCIÓN Y CUMPLIMIENTO"/>
        <s v="OFICINA DE PRENSA Y COMUNICACIONES"/>
        <s v="OFICINA DE TECNOLOGÍAS Y SISTEMAS DE LA INFORMACIÓN"/>
        <s v="OFICINA JURÍDICA"/>
        <s v="VICEPRESIDENCIA DE ACTIVOS MUEBLES E INMUEBLES"/>
        <s v="VICEPRESIDENCIA DE SOCIEDADES"/>
        <s v="DIRECCIÓN DE ASUNTOS LEGALES MISIONALES"/>
        <s v="GERENCIA DE DEPOSITARIOS, MANDATARIOS Y LIQUIDADORES"/>
        <s v="VICEPRESIDENCIA OPERATIVA / DIRECCIONES TERRITORIALES / DIRECCIÓN DE CONTROL DE INVENTARIO"/>
        <s v="DIRECCIÓN DE ANALÍTICA, ALISTAMIENTO Y VALORACIÓN"/>
        <s v="DIRECCION PARA LA DEMOCRATIZACION DE ACTIVOS MUEBLES "/>
        <s v="VICEPRESIDENCIA CORPORATIVA"/>
        <s v="DIRECCIÓN DE PROYECTOS"/>
        <s v="VICEPRESIDENCIA OPERATIVA"/>
        <s v="DIRECCIÓN DE PLANEACIÓN Y PROSPECTIVA"/>
        <s v="GERENCIA DE AUDITORIA A SOCIEDADES"/>
        <s v="DIRECCION DE CONTROL DEL INVENTARIO"/>
        <s v="DIRECCIÓN DE PROYECTOS " u="1"/>
      </sharedItems>
    </cacheField>
    <cacheField name="Código del área " numFmtId="0">
      <sharedItems containsSemiMixedTypes="0" containsString="0" containsNumber="1" containsInteger="1" minValue="100" maxValue="2000"/>
    </cacheField>
    <cacheField name="Nombre del área " numFmtId="0">
      <sharedItems count="28">
        <s v="DESPACHO PRESIDENCIA"/>
        <s v="DIRECCCIÓN DE GOBIERNO, CONTROL Y DEMOCRATIZACIÓN DE SOCIEDADES"/>
        <s v="DIRECCCIÓN PARA LA DEMOCRATIZACIÓN DE ACTIVOS INMUEBLES RURALES"/>
        <s v="DIRECCCIÓN PARA LA DEMOCRATIZACIÓN DE ACTIVOS INMUEBLES URBANOS"/>
        <s v="DIRECCION ADMINISTRATIVA"/>
        <s v="DIRECCIÓN COMERCIAL"/>
        <s v="DIRECCIÓN DE CONTRATACIÓN"/>
        <s v="DIRECCIÓN DE TALENTO HUMANO"/>
        <s v="DIRECCIÓN FINANCIERA"/>
        <s v="OFICINA DE INTEGRIDAD, ANTICORRUPCIÓN Y CUMPLIMIENTO"/>
        <s v="OFICINA DE PRENSA Y COMUNICACIONES"/>
        <s v="OFICINA DE TECNOLOGÍAS Y SISTEMAS DE LA INFORMACIÓN"/>
        <s v="OFICINA JURÍDICA"/>
        <s v="VICEPRESIDENCIA DE ACTIVOS MUEBLES E INMUEBLES"/>
        <s v="VICEPRESIDENCIA DE SOCIEDADES"/>
        <s v="DIRECCIÓN DE ASUNTOS LEGALES MISIONALES"/>
        <s v="GERENCIA DE DEPOSITARIOS, MANDATARIOS Y LIQUIDADORES"/>
        <s v="VICEPRESIDENCIA OPERATIVA / DIRECCIONES TERRITORIALES / DIRECCIÓN DE CONTROL DE INVENTARIO"/>
        <s v="DIRECCIÓN DE ANALÍTICA, ALISTAMIENTO Y VALORACIÓN"/>
        <s v="DIRECCION PARA LA DEMOCRATIZACION DE ACTIVOS MUEBLES "/>
        <s v="VICEPRESIDENCIA CORPORATIVA"/>
        <s v="DIRECCIÓN DE PROYECTOS"/>
        <s v="VICEPRESIDENCIA OPERATIVA"/>
        <s v="DIRECCIÓN DE PLANEACIÓN Y PROSPECTIVA"/>
        <s v="GERENCIA DE AUDITORIA A SOCIEDADES"/>
        <s v="DIRECCION DE CONTROL DEL INVENTARIO"/>
        <s v="DIRECCION DE PROYECTOS" u="1"/>
        <s v="DIRECCIÓN DE PROYECTOS " u="1"/>
      </sharedItems>
    </cacheField>
    <cacheField name="Total  de presupuesto de la linea _x000a_" numFmtId="0">
      <sharedItems containsMixedTypes="1" containsNumber="1" containsInteger="1" minValue="0" maxValue="13265105716"/>
    </cacheField>
    <cacheField name="Código UNSPSC_x000a_(cada código separado por ;)" numFmtId="0">
      <sharedItems containsMixedTypes="1" containsNumber="1" containsInteger="1" minValue="0" maxValue="92121700"/>
    </cacheField>
    <cacheField name="Descripción" numFmtId="0">
      <sharedItems count="130" longText="1">
        <s v="PRESTAR SERVICIOS PROFESIONALES, CON AUTONOMÍA TÉCNICA Y ADMINISTRATIVA, A LA SOCIEDAD DE ACTIVOS ESPECIALES, PARA GENERAR ESPACIOS DE COORDINACIÓN CON LOS DIFERENTES ENTES DE CONTROL Y ENTIDADES EXTERNAS."/>
        <s v="PRESTAR SERVICIOS PROFESIONALES EXPERTOS CON AUTONOMÍA TÉCNICA Y ADMINISTRATIVA, PARA ASESORAR Y HACER SEGUIMIENTO A LAS ACTIVIDADES RELACIONADAS CON LA PLANEACION, CREACION Y DIFUSION DE CONTENIDOS PERIODISTICOS Y DE DIULGACION, DE ACUERDO CON EL PROCESO DE COMUNICACION ESTRATEGICA DE LA SAE."/>
        <s v="PRESTAR SERVICIOS PROFESIONALES CON AUTONOMÍA TÉCNICA Y ADMINISTRATIVA, PARA LA ELABORACIÓN DE CONCEPTOS, ASÍ COMO LA ESTRUCTURACIÓN DE RESPUESTAS A LOS DIFERENTES REQUERIMIENTOS Y PETICIONES PRESENTADAS ANTE LA SOCIEDAD DE ACTIVOS ESPECIALES"/>
        <s v="PRESTAR SERVICIOS PROFESIONALES CON AUTONOMÍA TÉCNICA Y ADMINISTRATIVA, PARA BRINDAR ASESORÍA EN TEMAS RELACIONADOS CON LA MITIGACIÓN DE LOS RIESGOS EMPRESARIALES JURÍDICOS DERIVADOS DE LA NATURALEZA JURÍDICA DE LA SAE S.A.S Y EN SU CONDICIÓN DE ADMINISTRADOR DEL FONDO PARA LA REHABILITACIÓN SOCIAL Y LUCHA CONTRA EL CRIMEN ORGANIZADO – FRISCO. "/>
        <s v="PRESTAR SERVICIOS PROFESIONALES CON AUTONOMÍA TÉCNICA Y ADMINISTRATIVA, PARA BRINDAR ASESORÍA EN TEMAS RELACIONADOS CON LA MITIGACIÓN DE LOS RIESGOS JURÍDICOS DERIVADOS DEL ACOMPAÑAMIENTO A LAS DILIGENCIAS DE INCAUTACIÓN PARA GARANTIZAR LA CALIDAD Y SEGURIDAD DE LA INFORMACIÓN ENTREGADA A LA SAE S.A.S EN SU CONDICIÓN DE ADMINISTRADOR DEL FONDO PARA LA REHABILITACIÓN SOCIAL Y LUCHA CONTRA EL CRIMEN ORGANIZADO – FRISCO."/>
        <s v="PRESTACIÓN DE SERVICIOS PROFESIONALES CON AUTONOMIA TECNICA Y ADMINISTRATIVA PARA ACOMPAÑAMIENTO A LA SAE EN EL PROCESO DE REVISIÓN NORMATIVA QUE PERMITA CONSOLIDAR EL MODELO DE APROVECHAMIENTO SOCIAL DE LOS ACTIVOS ILÍCITOS VINCULADOS A PROCESOS DE EXTINCIÓN DE DOMINIO, ADMINISTRADOS POR LA SAE, ENFOCADO EN EL APROVECHAMIENTO SOCIAL DE LOS BIENES."/>
        <s v="PRESTAR SERVICIOS PROFESIONALES CON AUTONOMÍA TÉCNICA Y ADMINISTRATIVA, PARA BRINDAR ASESORIA ESTRATEGICA JURIDICA QUE SEA REQUERIDA POR LA SAE S.A.S"/>
        <s v="PRESTAR SERVICIOS PROFESIONALES DE ASESORÍA CONTABLE, FINANCIERA, ADMINISTRATIVA Y TRIBUTARIA INTEGRAL PARA EL EJERCICIO DEL CONTROL Y SUPERVISIÓN QUE LA VICEPRESIDENCIA DE SOCIEDADES DEBE EJERCER SOBRE LOS BIENES, HABERES Y NEGOCIOS DE SOCIEDADES, ESTABLECIMIENTOS DE COMERCIO O UNIDADES DE EXPLOTACIÓN"/>
        <s v="PRESTAR SERVICIOS PROFESIONALES PARA ACOMPAÑAR JURÍDICAMENTE  EN MATERIA DE DERECHO SOCIETARIO Y COMERCIAL LA DIRECCIÓN DE GOBIERNO, CONTROL Y DEMOCRATIZACIÓN DE SOCIEDADES."/>
        <s v="PRESTAR SERVICIOS PROFESIONALES CON AUTONOMÍA TÉCNICA Y ADMINISTRATIVA PARA APOYAR Y COORDINAR JURÍDICAMENTE LOS PROCESOS QUE TIENE A CARGO LA DIRECCIÓN PARA LA DEMOCRATIZACIÓN DE ACTIVOS INMUEBLES RURALES"/>
        <s v="PRESTAR SERVICIOS PROFESIONALES CON AUTONOMÍA TÉCNICA Y ADMINISTRATIVA PARA ARTICULAR LA ESTRATEGIA AGRO-PRODUCTIVA CON LA VICEPRESIDENCIA DE BIENES MUEBLES E INMUEBLES Y REALIZAR EL SEGUIMIENTO Y EVALUACIÓN DE PROYECTOS A CARGO DE LA DIRECCIÓN DE ACTIVOS INMUEBLE RURALES"/>
        <s v="PRESTAR SERVICIOS PROFESIONALES CON AUTONOMÍA TÉCNICA Y ADMINISTRATIVA PARA APOYAR LOS PROCESOS DE IDENTIFICACIÓN, CARACTERIZACIÓN Y ANÁLISIS JURÍDICO DE LOS INMUEBLES RURALES DE LA ENTIDAD A CARGO DE LA DIRECCIÓN PARA LA DEMOCRATIZACIÓN DE ACTIVOS INMUEBLES RURALES."/>
        <s v="PRESTAR SERVICIOS PROFESIONALES CON AUTONOMÍA TÉCNICA Y ADMINISTRATIVA PARA APOYAR JURÍDICAMENTE LOS PROCESOS QUE TIENE A CARGO LA DIRECCIÓN PARA LA DEMOCRATIZACIÓN DE ACTIVOS INMUEBLES RURALES"/>
        <s v="PRESTAR SERVICIOS PROFESIONALES CON AUTONOMÍA TÉCNICA Y ADMINISTRATIVA PARA ADELANTAR EL ANÁLISIS GEOGRÁFICO, CRUCES CATASTRALES E IDENTIFICACIÓN DE PREDIOS DE LOS INMUEBLES A CARGO DE LA DIRECCIÓN PARA LA DEMOCRATIZACIÓN DE ACTIVOS INMUEBLES RURALES"/>
        <s v="PRESTAR SERVICIOS PROFESIONALES CON AUTONOMÍA TÉCNICA Y ADMINISTRATIVA PARA APOYAR LA IMPLEMENTACIÓN DE LA POLÍTICA DE TIERRAS PARA LA PAZ Y FORTALECER LA CAPACIDAD CONCEPTUAL Y DE GESTIÓN ESTRATÉGICA DE LA DIRECCIÓN PARA LA DEMOCRATIZACIÓN DE ACTIVOS INMUEBLES RURALES"/>
        <s v="PRESTAR SERVICIOS PROFESIONALES CON AUTONOMÍA TÉCNICA Y ADMINISTRATIVA PARA APOYAR EL CUMPLIMIENTO DE LOS OBJETIVOS DE LA DIRECCIÓN PARA LA DEMOCRATIZACIÓN DE ACTIVOS INMUEBLES RURALES"/>
        <s v="PRESTAR SERVICIOS PROFESIONALES CON AUTONOMÍA TÉCNICA Y ADMINISTRATIVA PARA ACOMPAÑAR EL COMPONENTE SOCIAL DE LOS GRUPOS DE INTERÉS QUE SOLICITEN VIVIENDA POPULAR DENTRO DE LOS MECANISMOS QUE SE TIENEN DESDE LA DIRECCIÓN PARA LA DEMOCRATIZACIÓN DE ACTIVOS INMUEBLES URBANOS NO SOCIALES ADMINISTRADOS POR LA SOCIEDAD DE ACTIVOS ESPECIALES SAS (SAE)."/>
        <s v="PRESTAR SERVICIOS PROFESIONALES CON AUTONOMÍA TÉCNICA Y ADMINISTRATIVA PARA ACOMPAÑAR EL COMPONENTE TÉCNICO DE LOS GRUPOS DE INTERÉS QUE SOLICITEN VIVIENDA POPULAR DENTRO DE LOS MECANISMOS QUE SE TIENEN DESDE LA DIRECCIÓN PARA LA DEMOCRATIZACIÓN DE ACTIVOS INMUEBLES URBANOS NO SOCIALES ADMINISTRADOS POR LA SOCIEDAD DE ACTIVOS ESPECIALES SAS (SAE)."/>
        <s v="PRESTAR SERVICIOS PROFESIONALES CON AUTONOMÍA TÉCNICA Y ADMINISTRATIVA PARA ACOMPAÑAR EL COMPONENTE JURÍDICO DE LOS GRUPOS DE INTERÉS QUE SOLICITEN VIVIENDA POPULAR DENTRO DE LOS MECANISMOS QUE SE TIENEN DESDE LA DIRECCIÓN PARA LA DEMOCRATIZACIÓN DE ACTIVOS INMUEBLES URBANOS NO SOCIALES ADMINISTRADOS POR LA SOCIEDAD DE ACTIVOS ESPECIALES  SAS (SAE)."/>
        <s v="PRESTAR EL SERVICIO DE LIMPIEZA PARA LAS AGENCIAS TERRITORIALES DE LA SAE"/>
        <s v="SUMINISTRAR EL COMBUSTIBLE Y ACPM PARA LA SAE"/>
        <s v="SUMINISTRAR LAS HERRAMIENTAS Y ELEMENTOS DE FERRETERIA, MATERIALES ELECTRICOS,ELECTRONICOS NECESARIOS PARA EL FUNCIONAMIENTO DE TODAS LAS SEDES DE LA SAE SAS"/>
        <s v="CONTRATAR LA ADQUISICIÓN Y EL SERVICIO DE MANTENIMIENTO DE EQUIPOS PURIFICADORES Y/O DISPENSADORES DE AGUA PARA LA SAE SAS."/>
        <s v="PRESTAR EL SERVICIO DE MANTENIMIENTO PREVENTIVO Y CORRECTIVO CON SUMINISTRO DE REPUESTOS ORIGINALES Y MANO DE OBRA PARA LOS VEHICULOS QUE CONFORMAN EL PARQUE AUTOMOTOR ACTIVO DE LA SAE"/>
        <s v="SUMINISTRAR ELEMENTOS, INSUMOS Y MAQUINARIA PARA EL SERVICIO DE ASEO Y CAFETERIA DE LA SAE"/>
        <s v="CONTRATAR LA ADQUISICIÓN DE TARJETAS Y/O BONOS DE ALIMENTACIÓN PARA SUMINISTRAR AL PERSONAL DE LA SAE QUE SE ENCUENTRA EN COMISIÓN DE SERVICIOS O CON AUTORIZACIÓN DE DESPLAZAMIENTO AL INTERIOR DEL PAÍS."/>
        <s v="PRESTAR SERVICIOS  PARA LA COMERCIALIZACIÓN Y VENTA DE INMUEBLES ADMINISTRADOS POR LA SAE."/>
        <s v="Prestar servicios profesionales para la validación de información predial (catastral y comercial) requerida para el paso a venta del portafolio asignado y cumplimiento de metas 2025 a cargo de la Dirección Comercial."/>
        <s v="Prestar servicios profesionales en calidad de abogado para el cierre de la liquidación del contrato 011-2015 incluyendo la generación de actividades y estrategias tendientes a la finalización por formalización o terminación de los negocios en trámite, proyección de do-cumentos contractuales, oficios y otro material propio de la gestión."/>
        <s v="PRESTAR EL SERVICIO TECNOLÓGICO PARA REALIZAR LAS SUBASTAS INVERSAS ELECTÓNICAS QUE REQUIERA LA SAE"/>
        <s v="PRESTAR SERVICIOS PROFESIONALES CON AUTONOMÍA TÉCNICA Y ADMINISTRATIVA PARA ESTRUCTURAR LOS PROCESOS DE CONTRATACIÓN QUE ADELANTE LA SOCIEDAD DE ACTIVOS ESPECIALES S.A.S."/>
        <s v="PRESTAR SERVICIOS PROFESIONALES CON AUTONOMÍA TÉCNICA Y ADMINISTRATIVA, PARA APOYAR A LA DIRECCIÓN DE CONTRATACIÓN EN LOS TEMAS PROPIOS DE SU GESTIÓN."/>
        <s v="PRESTAR SERVICIOS PROFESIONALES EXPERTOS CON AUTONOMÍA TÉCNICA Y ADMINISTRATIVA, PARA APOYAR A LA VICEPRESIDENCIA CORPORATIVA EN LOS TEMAS PROPIOS DE SU GESTIÓN."/>
        <s v="PRESTAR LOS SERVICIOS DE ESTUDIOS DE SEGURIDAD PARA LOS ASPIRANTES A LOS DIFERENTES CARGOS DE LA PLANTA DE PERSONAL DE LA SOCIEDAD DE ACTIVOS ESPECIALES S.A.S. "/>
        <s v="PRESTAR SERVICIOS DE PRUEBAS PSICOTÉCNICAS Y PSICOMÉTRICAS EN LÍNEA, PARA EVALUAR LAS HABILIDADES COGNITIVAS Y LAS COMPETENCIAS COMPORTAMENTALES DE LOS ASPIRANTES A OCUPAR LOS EMPLEOS OFRECIDOS POR LA SAE DENTRO DE SUS PROCESOS DE SELECCIÓN DE PERSONAL._x000a_"/>
        <s v="PRESTAR SERVICIOS DE INTERPRETACIÓN DE LENGUA DE SEÑAS COLOMBIANA – ESPAÑOL, COMO MECANISMO PARA APOYAR EL ACCESO A LA COMUNICACIÓN Y LA INFORMACIÓN DE LA POBLACIÓN CON DISCAPACIDAD AUDITIVA."/>
        <s v="CONTRATAR LOS SERVICIOS DE PREAUDITORIA, AUDITORIA Y CERTIFICACIÓN ISO 45001:2018 PARA ALCANZAR SUS OBJETIVOS EN MATERIAL DE SEGURIDAD Y SALUD EN ELTRABAJO DE LA SAE"/>
        <s v="SUMINISTRO DE EQUIPOS, ELEMENTOS DE PROTECCION PERSONAL  PARA LOS TRABAJORES DE LA SAE"/>
        <s v="PRESTAR EL SERVICIO DE MANTENIMIENTO Y RECARGA DE LOS EXTINTORES DE LA SAE, PARA SU CORRECTO Y NORMAL FUNCIONAMIENTO, INCLUYENDO EL SUMINISTRO DE LOS REPUESTOS A QUE HAYA LUGAR Y SU SEÑALIZACION"/>
        <s v="SUMINISTRAR BONOS CANJEABLES POR VESTIDO Y CALZADO, PARA TRABAJADORE(AS) BENEFICIARIOS DE DOTACIÓN LEGAL DE LA SAE"/>
        <s v="CONTRATAR PÓLIZAS DE VIDA GRUPO Y EXEQUIALES PARA LAS PERSONAS VINCULADAS CON LA SOCIEDAD DE ACTIVOS ESPECIALES SAE S.A.S POR CONTRATO LABORAL Y/O DOCUMENTO DE NOMBRAMIENTO, A TRAVÉS DE UNA COMPAÑÍA DE SEGUROS LEGALMENTE CONSTITUIDA Y AUTORIZADA PARA OPERAR EN EL TERRITORIO NACIONAL."/>
        <s v="PRESTAR EL SERVICIO DE FACTURACION ELECTRONICA PARA LA NOMINA EN CUMPLIMIENTO DE LA RESOLUCIÓN 0013 DE 2021 DE LA SAE SAS."/>
        <s v="AUNAR ESFUERZOS ENTRE LA UNIDAD NACIONAL DE PROTECCIÓN UNP Y LA SOCIEDAD DE ACTIVOS ESPECIALES SAE SAS, PARA EJERCER LA ADECUADA PROTECCIÓN AL PRESIDENTE DE LA SAE SAS, QUIEN EN RAZÓN A SU CARGO Y FUNCIONES PRESENTA UN RIESGO EXTRAORDINARIO PARA SU VIDA, INTEGRIDAD LIBERTAD Y SEGURIDAD PERSONAL."/>
        <s v="PRESTAR SERVICIOS PROFESIONALES CON AUTONOMÍA TÉCNICA Y ADMINISTRATIVADES PARA ACOMPAÑAR LA ACTUALIZACIÓN DEL MAPA DE PROCESOS EN LOS ASUNTOS DE BIENESTAR, NOMINA, SST, CICLO DE VIDA, CAPACITACIONES Y APOYO A LA DIRECCION DE TALENTO HUMANO  "/>
        <s v="PRESTAR SERVICIOS DE CAPACITACIÓN QUE PROMUEVAN UNA CULTURA ORGANIZACIONAL COMPROMETIDA CON LA NO DISCRIMINACIÓN Y ESPACIO LIBRES DE VIOLENCIAS BASADA EN GENERO MEDIANTE TALLERES DE SENSIBILIZACIÓN DIRIGIDO A LOS TRABAJADORES Y TRABAJADORAS DE LA SOCIEDAD DE ACTIVOS ESPECIALES SAE SAS"/>
        <s v="PRESTAR SERVICIOS PROFESIONALES CON AUTONOMÍA TÉCNICA Y ADMINISTRATIVA, PARA APOYAR A LA VICEPRESIDENCIA CORPORATIVA EN LOS TEMAS PROPIOS DE SU GESTIÓN."/>
        <s v="PRESTAR SERVICIOS DE CAPACITACIÓN, DIRIGIDO A LOS FUNCIONARIOS DE PLANTA DIRECTA DE LA SOCIEDAD DE ACTIVOS ESPECIALES"/>
        <s v="PRESTAR SERVICIOS PROFESIONALES DE ASESORÍA, CONSULTORÍA FINANCIERA, CONTABLE Y JURÍDICA PARA ACOMPAÑAR LOS PROCESOS DE RENDICIÓN DE CUENTAS, MESAS DE CONCILIACIÓN CON LOS DEPOSITARIOS Y DEMÁS ACTIVIDADES QUE REQUIERA LA DIRECCIÓN FINANCIERA."/>
        <s v="PRESTAR LOS SERVICIOS DE REVISORÍA FISCAL, DE CONFORMIDAD CON LO ESTABLECIDO CON LA NORMATIVIDAD APLICABLE Y LOS ESTATUTOS SOCIALES DE LA SAE."/>
        <s v="CONTRATAR EL SERVICIO DE COBRO PERSUASIVO A LA CARTERA QUE LA SAE TIENE A SU CARGO COMO ADMINISTRADOR DEL FRISCO."/>
        <s v="CONTRATAR LA CUSTODIA Y SALVAGUARDA DE VALORES DE LOS TÍTULOS VALORES DEL MERCADO LOCAL E INTERNACIONAL Y RECURSOS EN DINERO DEL PORTAFOLIO DE INVERSIÓN ADMINISTRADO POR LA SOCIEDAD DE ACTIVOS ESPECIALES S.A.S., ASÍ COMO LA ADMINISTRACIÓN DE VALORES Y LA COMPENSACIÓN Y LIQUIDACIÓN DE LAS OPERACIONES REALIZADAS SOBRE DICHOS VALORES."/>
        <s v="PRESTAR SERVICIOS PROFESIONALES CON AUTONOMÍA TÉCNICA Y ADMINISTRATIVA PARA REALIZAR LA PROGRAMACION EN DESARROLLO DE TABLEROS DE CONTROL POWER BI PARA LA OFICINA  DE INTEGRIDAD, ANTICORRUPCION Y CUMPLIMIENTO"/>
        <s v="PRESTAR SERVICIOS PROFESIONALES CON AUTONOMÍA TÉCNICA Y ADMINISTRATIVA PARA ACOMPAÑAR JURÍDICAMENTE A LA OFICINA DE INTEGRIDAD, ANTICORRUPCIÓN Y CUMPLIMIENTO "/>
        <s v="PRESTAR SERVICIOS DE APOYO A LA GESTIÓN CON AUTONOMÍA TÉCNICA Y ADMINISTRATIVA PARA REALIZAR LAS ACTIVIDADES OPERATIVAS TRANSVERSALES DE  LA OFICINA DE INTEGRIDAD, ANTICORRUPCIÓN Y CUMPLIMIENTO "/>
        <s v="CONTRATAR LA PRESTACIÓN DE SERVICIO INTEGRAL DE ACUERDO CON LOS REQUERIMIENTOS DE LA SOCIEDAD DE ACTIVOS ESPECIALES SAS, PARA QUE DENTRO DE UNA BOLSA DE PRODUCTOS PRESTE EL SERVICIO DE APOYO OPERATIVO Y LOGISTICO EN EL TERRITORIO NACIONAL."/>
        <s v="PRESTAR SERVICIOS PROFESIONALES CON AUTONOMÍA TÉCNICA Y ADMINISTRATIVA PARA EL DESARROLLO Y APOYO A LA GESTIÓN DE LA OFICINA DE PRENSA Y COMUNICACIONES DE LA SAE"/>
        <s v="ADQUIRIR LAS LICENCIAS DE EDICIÓN PARA LA CREACIÓN DE CONTENIDOS DIGITALES QUE REQUIERA LA OFICINA DE PRENSA Y COMUNICACIONES DE LA SAE"/>
        <s v="CONTRATAR A TRAVÉS DE UNA BOLSA DE PRODUCTOS LOS SERVICIOS DE IMPRESIÓN OFFSET, DIGITAL, PRE-PRENSA, CTP O CUALQUIER OTRO SISTEMA DE IMPRESIÓN, EN DIVERSOS FORMATOS, MATERIALES (BLANDOS Y RÍGIDOS) Y CON ACABADOS PARA SER ENTREGADOS Y/O INSTALADOS EN TODO EL TERRITORIO NACIONAL"/>
        <s v="ADQUISICIÓN Y RENOVACION DE LICENCIAMIENTO FORTICARE PREMIUM SUPPORT, EQUIPOS FORTINET Y EXTREME, SOPORTE PARA LA CONECTIVIDAD SOC (CENTRO DE OPERACIONES DE SEGURIDAD) Y SEGURIDAD DE LA RED Y PRESTACION DE SERVICIO NOC (CENTRO DE OPERACIONES DE RED)."/>
        <s v="PRESTAR SERVICIOS PROFESIONALES CON AUTONOMÍA TÉCNICA Y ADMINISTRATIVA PARA REALIZAR EL ANÁLISIS, LEVANTAMIENTO, CONSTRUCCIÓN, PRUEBAS E INTEGRACIONES DE LOS REQUERIMIENTOS, DE LOS APLICATIVOS MISIONALES DE LA SOCIEDAD DE ACTIVOS ESPECIALES SAS ASIGNADOS.   "/>
        <s v="PRESTAR SERVICIOS PROFESIONALES CON AUTONOMÍA TÉCNICA Y ADMINISTRATIVA PARA DESARROLLAR, CONSTRUIR E INTEGRAR LOS REQUERIMIENTOS DE LOS APLICATIVOS MISIONALES DE LA SOCIEDAD DE ACTIVOS ESPECIALES SAS ASIGNADOS. "/>
        <s v="SERVICIOS DE PLATAFORMA DE NUBE PÚBLICA PARA LA SOCIEDAD DE ACTIVOS ESPECIALES"/>
        <s v="ADQUISICION, RENOVACIÓN, SOPORTE Y MANTENIMIENTO DE LICENCIAS DE UNA SOLUCIÓN DE ANÁLISIS DE COMPROMISOS EN TIEMPO REAL (LUMU) PARA LA SOCIEDAD DE ACTIVOS ESPECIALES SAS"/>
        <s v="ARRIENDO Y SOPORTE DE PRIMER NIVEL DE COMPUTADORES, PERIFÉRICOS Y COMPONENTES DE HARDWARE Y SOFTWARE PARA LA SOCIEDAD DE ACTIVOS ESPECIALES SAS."/>
        <s v="PRESTAR SERVICIOS DE DESARROLLO, SOPORTE Y MANTENIMIENTO DEL SISTEMA INTEGRADO PARA GESTIÓN FINANCIERA Y ADMINISTRATIVA APLICATIVO SEVEN-ERP  (ENTERPRISE RESOURCE PLANNING / PLANIFICACION DE RECURSOS EMPRESARIALES) Y GESTIÓN DE TALENTO HUMANO KACTUS PARA LA SOCIEDAD DE ACTIVOS ESPECIALES SAE SAS. "/>
        <s v="PRESTAR SERVICIOS PARA LA GARANTÍA EXTENDIDA, MANTENIMIENTO PREVENTIVO, MANTENIMIENTO CORRECTIVO Y SOPORTE TÉCNICO PARA EL SISTEMA DE ALMACENAMIENTO EN RED (NAS) DE LA ENTIDAD"/>
        <s v="PRESTAR LOS SERVICIOS DE SOPORTE Y ACTUALIZACIONES DE LICENCIAS ARCGIS QUE TIENE LA SOCIEDAD DE ACTIVOS ESPECIALES S.A.S "/>
        <s v="PRESTAR SERVICIOS DE DIAGNÓSTICO, ACTUALIZACIÓN, CONFIGURACIÓN, SOPORTE Y MANTENIMIENTO DEL SISTEMA DE GESTIÓN DE SERVICIOS DE TECNOLOGÍA (GLPI) DE LA SOCIEDAD DE ACTIVOS ESPECIALES SAS."/>
        <s v="ADQUISICIÓN Y RENOVACIÓN DE LICENCIAS PARA HERRAMIENTA DE CUSTODIA Y SEGURIDAD DE LA INFORMACIÓN PARA LA GESTIÓN DE COPIAS DE RESPALDO."/>
        <s v="PRESTAR SERVICIOS DE ARRENDAMIENTO, SOPORTE, MANTENIMIENTO Y ACTUALIZACION DE LA PLATAFORMA TELEFONICA PARA LA SOCIEDAD DE ACTIVOS ESPECIALES SAS."/>
        <s v="RENOVACIÓN DE CERTIFICADO SSL WILCARD DE LA SOCIEDAD DE ACTIVOS ESPECIALES SAESAS. "/>
        <s v="CONTRATAR LA ADQUISICIÓN DE CERTIFICADOS DE FIRMA DIGITAL, Y EL SERVICIO DE API PARA INTEGRACIÓN CON APLICATIVOS MISIONALES."/>
        <s v="PRESTAR SERVICIOS PROFESIONALES CON AUTONOMÍA TÉCNICA Y ADMINISTRATIVA PARA ASESORAR JURÍDICAMENTE EN LOS ASUNTOS ESTRATÉGICOS DE LA OFICINA JURÍDICA DE LA PRESIDENCIA DE LA SAE"/>
        <s v="PRESTAR SERVICIOS PROFESIONALES CON AUTONOMÍA TÉCNICA Y ADMINISTRATIVA PARA ACOMPAÑAR LOS PROCESOS DE LAS DIFERENTES DIRECCIONES DE LA VICEPRESIDENCIA DE ACTIVOS MUEBLES E INMUEBLES DE LA SAE"/>
        <s v="PRESTAR SERVICIOS PROFESIONALES CON AUTONOMÍA TÉCNICA Y ADMINISTRATIVA EN LA VICEPRESIDENCIA DE ACTIVOS MUEBLES E INMUEBLES "/>
        <s v="PRESTAR SERVICIOS PROFESIONALES CON AUTONOMÍA TÉCNICA Y ADMINISTRATIVA, PARA APOYAR A LA VICEPRESIDENCIA DE SOCIEDADES EN LOS TEMAS PROPIOS DE SU GESTIÓN"/>
        <s v="PRESTAR SERVICIOS PROFESIONALES DE REPRESENTACIÓN EXTRAJUDICIAL Y/O JUDICIAL DE LOS PROCESOS ASIGNADOS O QUE DEBAN INICIARSE DE NATURALEZA LABORAL EN DEFENSA DE LOS INTERESES DE LA SOCIEDAD DE ACTIVOS ESPECIALES S.A. (SAE – SAS) EN REPRESENTACIÓN DEL FONDO PARA LA REHABILITACIÓN, INVERSIÓN SOCIAL Y LUCHA CONTRA EL CRIMEN ORGANIZADO (FRISCO)."/>
        <s v="PRESTAR SERVICIOS PROFESIONALES DE REPRESENTACIÓN EXTRAJUDICIAL Y/O JUDICIAL DE LOS PROCESOS ASIGNADOS O QUE DEBAN INICIARSE DE NATURALEZA CIVIL Y/O COMERCIAL EN DEFENSA DE LOS INTERESES DE LA SOCIEDAD DE ACTIVOS ESPECIALES S.A. (SAE – SAS) EN REPRESENTACIÓN DEL FONDO PARA LA REHABILITACIÓN, INVERSIÓN SOCIAL Y LUCHA CONTRA EL CRIMEN ORGANIZADO (FRISCO)."/>
        <s v="PRESTAR SERVICIOS PROFESIONALES DE REPRESENTACIÓN EXTRAJUDICIAL Y/O JUDICIAL DE LOS PROCESOS ASIGNADOS O QUE DEBAN INICIARSE DE NATURALEZA CONTENCIOSO ADMINISTRATIVO, SANCIONATORIOS ADMINISTRATIVOS Y DE COBRO COACTIVO, EN DEFENSA DE LOS INTERESES DE LA SOCIEDAD DE ACTIVOS ESPECIALES S.A. (SAE – SAS) EN REPRESENTACIÓN DEL FONDO PARA LA REHABILITACIÓN, INVERSIÓN SOCIAL Y LUCHA CONTRA EL CRIMEN ORGANIZADO (FRISCO)."/>
        <s v="PRESTAR SERVICIOS PROFESIONALES DE REPRESENTACIÓN EXTRAJUDICIAL Y/O JUDICIAL PARA LA RECUPERACIÓN DE CARTERA EN DEFENSA DE LOS INTERESES DE LA SOCIEDAD DE ACTIVOS ESPECIALES S.A. (SAE – SAS) EN REPRESENTACIÓN DEL FONDO PARA LA REHABILITACIÓN, INVERSIÓN SOCIAL Y LUCHA CONTRA EL CRIMEN ORGANIZADO (FRISCO)"/>
        <s v="PRESTAR SERVICIOS PROFESIONALES DE REPRESENTACIÓN JUDICIAL, EXTRAJUDICIAL Y ASESORÍAS EN ASUNTOS PENALES DE INTERÉS PARA LA ENTIDAD CONFORME LO SOLICITADO POR LA SOCIEDAD DE ACTIVOS ESPECIALES S.A.S."/>
        <s v="PRESTAR SERVICIOS PROFESIONALES DE ASESORÍA JURÍDICA INTEGRAL Y DE ALTO IMPACTO EN CUALQUIER ESPECIALIDAD QUE REQUIERA LA SOCIEDAD DE ACTIVOS ESPECIALES S.A.S., A TRAVÉS DE LA DIRECCIÓN DE ASUNTOS LEGALES MISIONALES Y/O VICEPRESIDENCIA OPERATIVA."/>
        <s v="PRESTAR SERVICIOS PROFESIONALES, CON AUTONOMÍA TÉCNICA Y ADMINISTRATIVA PARA LA EXPEDICIÓN DE VIABILIDADES JURÍDICAS Y/O ACTOS ADMINISTRATIVOS, ASÍ COMO LA ATENCIÓN A REQUERIMIENTOS DE LA DIRECCIÓN DE ASUNTOS LEGALES."/>
        <s v="PRESTAR SERVICIOS PROFESIONALES, CON AUTONOMÍA TÉCNICA Y ADMINISTRATIVA PARA LA EXPEDICIÓN DE VIABILIDADES JURÍDICAS Y/O ACTOS ADMINISTRATIVOS, ASÍ COMO LA ATENCIÓN A REQUERIMIENTOS DE LA DIRECCIÓN DE ASUNTOS LEGALES.."/>
        <s v="PRESTAR SERVICIOS PROFESIONALES CON AUTONOMÍA TÉCNICA Y ADMINISTRATIVA PARA LA EXPEDICIÓN DE VIABILIDADES JURÍDICAS Y/O ACTOS ADMINISTRATIVOS, ASÍ COMO LA ATENCIÓN A REQUERIMIENTOS DE LA DIRECCIÓN DE ASUNTOS LEGALES."/>
        <s v="PRESTAR SERVICIOS DE APOYO A LA GESTIÓN, CON AUTONOMÍA TÉCNICA Y ADMINISTRATIVA PARA REALIZAR LA EVALUACIÓN, SELECCIÓN Y SEGUIMIENTO A LOS ASPIRANTES Y/O  LOS DEPOSITARIOS PROVISIONALES."/>
        <s v="PRESTAR SERVICIOS PROFESIONALES, CON AUTONOMÍA TÉCNICA Y ADMINISTRATIVA PARA REALIZAR  REVISIÓN, DIAGNÓSTICO, DEPURACIÓN, ACTUALIZACIÓN Y ARMONIZACIÓN DE LAS BASES DE DATOS DE GERENCIA DE DEPOSITARIOS, MANDATARIOS Y LIQUDADORES"/>
        <s v="PRESTAR SERVICIOS PROFESIONALES, CON AUTONOMÍA TÉCNICA Y ADMINISTRATIVA PARA LA GESTIÓN Y SEGUIMIENTO DE LOS PROCESOS FINANCIEROS Y CONTABLES SOLICITADOS POR LAS DISTINTAS ÁREAS DE LA SAE."/>
        <s v="PRESTAR SERVICIOS PROFESIONALES CON AUTONOMÍA TÉCNICA Y ADMINISTRATIVA  PARA  REALZAR EL PROCESO DE EVALUACIÓN TÉCNICA, SELECCIÓN Y SEGUIMIENTO  DE DEPOSITARIOS PROVISIONALES,GERENTES POPULARES Y/O DEPOSITARIOS POPULARES DENTRO DEL MARCO DE LAS CONVOCATORIAS ADELANTADAS POR LA DE DEPOSITARIOS, MANDATARIOS Y LIQUDADORES"/>
        <s v="PRESTAR SERVICIOS PROFESIONALES CON AUTONOMÍA TÉCNICA Y ADMINISTRATIVA PARA LA GESTIÓN Y SEGUIMIENTO DE LOS PROCESOS DE RENDICIÓN DE CUENTAS ADMINISTRATIVAS DE LAS ACTIVIDADES REALIZADAS POR LOS DEPOSITARIOS PROVISIONALES,GERENTES POPULARES Y/O DEPOSITARIOS POPULARES "/>
        <s v="PRESTAR SERVICIOS PROFESIONALES CON AUTONOMÍA TÉCNICA Y ADMINISTRATIVA  PARA ACOMPAÑAR LA GESTIÓN DOCUMENTAL DE LA GERENCIA DE DEPOSITARIOS, MANDATARIOS Y LIQUIDADORES, ASÍ COMO LAS DEMÁS ACTIVIDADES ADMINSTRATIVAS QUE REQUIERA EL ÁREA."/>
        <s v="PRESTAR SERVICIOS PROFESIONALES CON AUTONOMÍA TÉCNICA Y ADMINISTRATIVA PARA REALIZAR LA GESTIÓN ADMINISTRATIVA, DE CAPACITACIÓN, SEGUIMIENTO Y EVALUACIÓN DE LOS PROCESOS RELACIONADOS CON LA ASIGNACIÓN Y ADMINISTRACIÓN DE ACTIVOS DE GERENTES Y DEPOSITARIOS POPULARES. "/>
        <s v="PRESTAR SERVICIOS DE LOGÍSTICA INTEGRAL NECESARIOS PARA EL DESARROLLO DE LAS ACTIVIDADES PROPIAS DE LA ADMINISTRACIÓN DE LOS ACTIVOS ENTREGADOS A LA SOCIEDAD DE ACTIVOS ESPECIALES S.A.S."/>
        <s v="CONFORMAR UN INSTRUMENTO COMERCIAL MARCO PARA EL PROCESO DE AVALÚOS COMERCIALES, QUE PRESTEN LOS SERVICIOS CORRESPONDIENTES A LA ELABORACIÓN, ACTUALIZACIÓN, ASÍ COMO LA EMISIÓN DE CONCEPTOS TÉCNICOS DE VALOR Y ANÁLISIS DE DATOS EN VALORACIÓN SOBRE LOS BIENES INMUEBLES QUE TENGA SAE SAS BAJO SU ADMINISTRACIÓN."/>
        <s v="CONFORMAR UN INSTRUMENTO COMERCIAL MARCO  PARA EL SANEAMIENTO INTEGRAL FÍSICO CATASTRAL, SOBRE AQUELLOS INMUEBLES URBANOS Y/O RURALES LOCALIZADOS EN TODO EL TERRITORIO NACIONAL Y QUE FORMEN PARTE DEL INVENTARIO DE SAE SAS"/>
        <s v="PRESTAR LOS SERVICIOS DE EJECUCIÓN DE ACTIVIDADES DE REPARACIONES, OBRAS Y MANTENIMIENTO (ROM), Y OTROS ARREGLOS LOCATIVOS A LOS INMUEBLES EN ADMINISTRACIÓN DE LA SAE SAS, DE ACUERDO CON LA DIRECCIÓN TERRITORIAL DONDE SE HAYA OFERTADO SUS SERVICIOS Y DONDE HAYAN SIDO ADJUDICADOS."/>
        <s v="_x000a_CONFORMAR UN INSTRUMENTO COMERCIAL MARCO PARA LA PRESTACIÓN DEL SERVICIO DE DESTRUCCIÓN DE SUSTANCIAS QUÍMICAS Y MATERIAL MINERAL QUE SON ADMINISTRADOS POR LA SOCIEDAD DE ACTIVOS ESPECIALES S.A.S."/>
        <s v="REALIZAR LA VENTA DE MATERIAL FERROSO, RESULTANTE DE LA DESNATURALIZACION DE LOS BIENES MUEBLES, QUE SEAN OBJETO DE CHATARRIZACION, DE LA TIPOLOGIA MEDIOS DE TRANPORTE (AUTOMOTORES, EMBARCACIONES Y AERONAVES) Y DAO  (MUEBLES) ADMINISTRADOS POR LA SOCIEDAD DE ACTIVOS ESPECIALES S.A.S"/>
        <s v="CONTRATAR LOS SERVICIOS DE TRASPLANTE Y CUIDADO DE GUARDERÍAS DE CORALES EN LA ZONA DE REMOCIÓN DE LA EMBARCACIÓN MR. GOBY UBICADO EN LA ISLA DE SAN ANDRÉS Y PROVIDENCIA, EN CUMPLIMIENTO DEL PLAN DE COMPENSACIÓN AMBIENTAL Y MEDIDAS DE MITIGACIÓN APROBADO POR LA CORPORACIÓN PARA EL DESARROLLO SOSTENIBLE DEL ARCHIPIÉLAGO DE SAN ANDRÉS, PROVIDENCIA Y SANTA CATALINA – CORALINA, EN VIRTUD DE LA RESOLUCIÓN 403 DE 2015 EXPEDIDA POR LA MISMA."/>
        <s v="PRESTAR SERVICIOS PROFESIONALES CON AUTONOMÍA TÉCNICA Y ADMINISTRATIVA, PARA APOYAR A LA VICEPRESIDENCIA CORPORATIVA EN LOS TEMAS PROPIOS DE SU GESTIÓN._x000a_"/>
        <s v="PRESTAR SERVICIOS PROFESIONALES CON AUTONOMIA TECNICA Y ADMINISTRATIVA  PARA ACOMPAÑAR JURIDICAMENTE A LA VICEPRESIDENCIA CORPORATIVA EN EL MARCO DE SU GESTIÓN."/>
        <s v="PRESTAR SERVICIOS DE ACOMPAÑAMIENTO DE FORMA AUTONOMIA TECNICA Y ADMINISTRATIVA, EN MATERIA JURIDICO LABORAL A LA DIRECCIÓN DE TALENTO HUMANO Y A LA VICEPRESIDENCIA CORPORATIVA"/>
        <s v="Contratar los servicios para la constitución de un patrimonio autónomo a través de una fiducia en cumplimiento del artículo 3 del Decreto Ley 903 de 2017 y la designación de su administración a la Sociedad de Activos Especiales S.A.S., por el artículo 1 del Decreto 1407 de 2017"/>
        <s v="Prestación de servicios para el avalúo de los bienes entregados por las FARC-EP en cumplimiento del Decreto Ley 903 de 2017"/>
        <s v="Prestar servicios profesionales con autonomía técnica y administrativa para brindar acompañamiento jurídico de los procesos asignados a la Dirección para la Democratización de Activos Inmuebles Rurales."/>
        <s v="Prestar servicios profesionales con autonomía técnica y administrativa para brindar apoyo en los procesos de viabilidad técnica y desarrollo agroproductivo en predios rurales a cargo de la Dirección de Activos Inmuebles Rurales."/>
        <s v="PRESTAR SERVICIOS PROFESIONALES CON AUTONOMÍA TÉCNICA Y ADMINISTRATIVA A LA DIRECCION PARA LA DEMORATIZACION DE ACTIVOS MUEBLES , CONSOLIDADO LAS CIFRAS EN SU INVENTARIO FRENTE A LAS DEMAS AREAS DE LA ENTIDAD"/>
        <s v="PRESTAR SERVICIOS PROFESIONALES CON AUTONOMÍA TÉCNICA Y ADMINISTRATIVA PARA APOYAR JURIDICAMENTE EN LOS PROCESOS DE LA DIRECCION PARA LA DEMOCRATIZACION DE ACTIVOS INMUEBLES URBANOS "/>
        <s v="PRESTAR SERVICIOS PROFESIONALES CON AUTONOMÍA TÉCNICA Y ADMINISTRATIVA PARA APOYAR EN LOS PROCESOS DE LA DIRECCION PARA LA DEMOCRATIZACION DE ACTIVOS INMUEBLES URBANOS "/>
        <s v="Prestación del servicio de Implementación, auditoría interna y auditoria de certificación para la norma ISO 27001:2022 con alcance en &quot;Monitoreo y control de las actividades ejecutadas por Infraestructura a nivel tecnológico"/>
        <s v="Prestar servicios profesionales especializados con autonomía técnica y administrativa para gestionar, acompañar y articular el relacionamiento y comunicación interinstitucional con entidades, agencias, organizaciones y organismos del orden territorial, nacional e internacional, en aras de apoyar el desarrollo de los proyectos a cargo de la Dirección de Proyectos."/>
        <s v="Prestar servicios profesionales especializados con autonomía técnica y administrativa para gestionar, acompañar y articular las mediciones de valor público, con el propósito de apoyar el desarrollo de los proyectos a cargo de la Dirección de Proyectos."/>
        <s v="Prestar servicios profesionales para brindar asesoría jurídica a la vicepresidencia operativa de la SAE S.A.S en los temas propios de su gestión"/>
        <s v="PRESTAR SERVICIOS DE ACOMPAÑAMIENTO A LA SAE S.A.S., EN LA APLICACIÓN DE UNA METODOLOGÍA DE PLANEACIÓN ESTRATÉGICA Y PROSPECTIVA QUE PERMITA ENFOCARSE EN LOS RESULTADOS MEDIANTE LA TRANSFORMACIÓN DIGITAL DE SUS PROCESOS, CON UN ENFOQUE DE VALOR SOCIAL, ECONÓMICO Y AMBIENTAL."/>
        <s v="CONTRATAR EL SERVICIO DE FUMIGACIÓN, DESINFECCIÓN, DESRATIZACIÓN Y CONTROL DE PLAGAS PARA LAS SEDES ADMINISTRATIVAS Y DEMÁS LOCACIONES DE LA SOCIEDAD DE ACTIVOS ESPECIALES S.A.S."/>
        <s v="PRESTAR SERVICIOS PROFESIONALES CON AUTONOMÍA TÉCNICA Y ADMINISTRATIVA, PARA APOYAR JURÍDICAMENTE A LA DIRECCIÓN DE CONTRATACIÓN EN LOS TEMAS PROPIOS DE SU GESTIÓN"/>
        <s v="Prestar servicios profesionales especializados con autonomía técnica y administrativa para implementar y ejecutar las mediciones de valor público, con la finalidad de apoyar la coordinación y ejecución de los proyectos asignados a la Dirección de Proyectos."/>
        <s v="Prestar servicios profesionales especializados con autonomía técnica y administrativa para gestionar y desarrollar los procesos administrativos requeridos por la Dirección de Proyectos, con el fin de optimizar la ejecución de sus funciones y objetivos estratégicos."/>
        <s v="Contratar la prestación de servicios de apoyo a la gestión con autonomía técnica y administrativa para acompañar las actividades trasversales de la Vicepresidencia de Activos Muebles e Inmuebles de la Sociedad de Activos Especiales SAS"/>
        <s v="Prestar servicios profesionales con autonomía técnica a la Gerencia de Auditoría a Sociedades, para apoyar el desarrollo y ejecución de las auditorías correspondientes al Plan anual de Auditoría 2025. "/>
        <s v="Prestar servicios técnico asistenciales como apoyo a la gestión del grupo de defensa judicial, así como la atención a requerimientos de la Dirección de Asuntos Legales Misionales"/>
        <s v="PRESTAR SERVICIOS PROFESIONALES ESPECIALIZADOS CON AUTONOMÍA TÉCNICA Y ADMINISTRATIVA, PARA APOYAR A LA DIRECCIÓN DE CONTRATACIÓN EN LOS TEMAS PROPIOS DE SU GESTIÓN."/>
        <s v="PRESTAR SERVICIOS PROFESIONALES ESPECIALIZADOS CON AUTONOMÍA TÉCNICA Y ADMINISTRATIVA, PARA APOYAR JURÍDICAMENTE A LA DIRECCIÓN DE CONTRATACIÓN EN LOS TEMAS PROPIOS DE SU GESTIÓN."/>
        <s v="Prestar servicios profesionales a la Gerencia de Auditoría a Sociedades, para apoyar el desarrollo y ejecución de las auditorías correspondientes al Plan anual de Auditoría 2025."/>
        <s v="Prestar servicios profesionales con autonomía técnica y administrativa, para el seguimiento y control de los asuntos relacionados con la Dirección Financiera de la Sociedad de Activos Especiales S.A.S."/>
        <s v="Aunar esfuerzos entre la Sociedad de Activos Especiales- SAE SAS y la Unidad Nacional de Protección – UNP –, para el fortalecimiento de la seguridad de personas y comunidades en riesgo a nivel nacional. "/>
        <s v="Contratar la prestación de los servicios de transporte y logística integral necesarios para el desarrollo y atención de las Diligencias de Secuestro programadas por la Fiscalía General de la Nación a nivel Nacional en el marco de las acciones propias del proceso de extinción dominio, para garantizar los procesos de recibo, registro y aseguramiento de los activos por parte de la Direccion de Control del Inventario de la SAE"/>
        <s v="Prestar servicios profesionales para brindar acompañamiento jurídico en el Grupo Interno de Trabajo de Defensa Judicial y Cartera de la Dirección de Asuntos Legales Misionales"/>
        <s v="Prestar los servicios profesionales para apoyar a la Dirección de Planeación y Prospectiva de la Sociedad de Activos Especiales SAE S.A.S. en el diseño e implementación de lineamientos, estrategias y metodologías relacionadas con el modelo de prospectiva de la Entidad y en la implementación de la metodología para la estructuración del Plan de Continuidad del Negocio, en el marco de la Estrategia Institucional y demás lineamientos de Ley."/>
        <s v="Prestar los servicios profesionales para asesorar a la Dirección de Planeación y Prospectiva de la Sociedad de Activos Especiales SAE S.A.S. en el diseño e implementación de lineamientos, estrategias y metodologías relacionadas con el modelo de Transformación Digital de la SAE en el marco de la Estrategia Institucional."/>
      </sharedItems>
    </cacheField>
    <cacheField name="Fecha estimada de inicio de proceso de selección (mes)" numFmtId="0">
      <sharedItems count="11">
        <s v="ENERO"/>
        <s v="FEBRERO"/>
        <s v="ABRIL"/>
        <s v="MARZO"/>
        <s v="JULIO"/>
        <s v="SEPTIEMBRE"/>
        <s v="MAYO"/>
        <s v="JUNIO"/>
        <s v="FEBRERO " u="1"/>
        <s v="MAYO " u="1"/>
        <s v="MARZO " u="1"/>
      </sharedItems>
    </cacheField>
    <cacheField name="Fecha estimada de presentación de ofertas (mes)" numFmtId="0">
      <sharedItems/>
    </cacheField>
    <cacheField name="Duración del contrato (número)" numFmtId="0">
      <sharedItems containsSemiMixedTypes="0" containsString="0" containsNumber="1" containsInteger="1" minValue="1" maxValue="338"/>
    </cacheField>
    <cacheField name="Duración del contrato (intervalo: días, meses, años)" numFmtId="0">
      <sharedItems/>
    </cacheField>
    <cacheField name="Formas de contratación_x000a_a. Orden de Servicio o Compra_x000a_b. Contratación Directa_x000a_c. Contratación Expedita _x000a_d. Subasta inversa_x000a_e. Convocatoria Publica _x000a_f. Adquisición a través de los mecanismos de agregación de demanda" numFmtId="0">
      <sharedItems count="10">
        <s v="b. Contratación Directa"/>
        <s v="c. Contratación Expedita "/>
        <s v="f. Adquisición a través de los mecanismos de agregación de demanda"/>
        <s v="d. Subasta inversa"/>
        <s v="e. Convocatoria pública"/>
        <s v="a. Orden de Servicio o Compra"/>
        <s v="5, Contratación Directa" u="1"/>
        <s v="Por la minima cuantía  prevista en el numeral 5 del artículo 2 de la Ley 1150 de 2007 (Estatuto Genral de Contratación Estatal)" u="1"/>
        <s v="Contratación Directa" u="1"/>
        <s v="e. CONVOCATORIA PUBLICA " u="1"/>
      </sharedItems>
    </cacheField>
    <cacheField name="Fuente de los recursos" numFmtId="0">
      <sharedItems containsMixedTypes="1" containsNumber="1" containsInteger="1" minValue="0" maxValue="0"/>
    </cacheField>
    <cacheField name="Valor total estimado" numFmtId="165">
      <sharedItems containsMixedTypes="1" containsNumber="1" containsInteger="1" minValue="0" maxValue="12100000000"/>
    </cacheField>
    <cacheField name="Valor estimado en la vigencia actual" numFmtId="165">
      <sharedItems containsMixedTypes="1" containsNumber="1" containsInteger="1" minValue="0" maxValue="8300000000"/>
    </cacheField>
    <cacheField name="¿Se requieren vigencias futuras?" numFmtId="0">
      <sharedItems containsMixedTypes="1" containsNumber="1" containsInteger="1" minValue="0" maxValue="1"/>
    </cacheField>
    <cacheField name="Estado de solicitud de vigencias futuras" numFmtId="0">
      <sharedItems containsBlank="1" containsMixedTypes="1" containsNumber="1" containsInteger="1" minValue="0" maxValue="1"/>
    </cacheField>
    <cacheField name="Unidad de contratación (referencia)" numFmtId="0">
      <sharedItems/>
    </cacheField>
    <cacheField name="Ubicación" numFmtId="0">
      <sharedItems/>
    </cacheField>
    <cacheField name="Nombre de persona responsable " numFmtId="0">
      <sharedItems/>
    </cacheField>
    <cacheField name="Teléfono de persona responsable " numFmtId="0">
      <sharedItems containsMixedTypes="1" containsNumber="1" containsInteger="1" minValue="7431444" maxValue="6017431444"/>
    </cacheField>
    <cacheField name="Correo electrónico de persona responsable " numFmtId="0">
      <sharedItems/>
    </cacheField>
    <cacheField name="¿Este proceso es susceptible de limitarse a MiPymes?" numFmtId="0">
      <sharedItems/>
    </cacheField>
    <cacheField name="¿Este proceso es susceptible de estructurarse por lotes o segmentos?" numFmtId="0">
      <sharedItems/>
    </cacheField>
    <cacheField name="¿Debe cumplir con invertir mínimo el 30% de los recursos del presupuesto destinados a comprar alimentos, cumpliendo con lo establecido en la Ley 2046 de 2020, reglamentada por el Decreto 248 de 2021?" numFmtId="0">
      <sharedItems/>
    </cacheField>
    <cacheField name="¿El contrato incluye el suministro de bienes y servicios distintos a alimentos?" numFmtId="0">
      <sharedItems containsMixedTypes="1" containsNumber="1" containsInteger="1" minValue="0" maxValue="0"/>
    </cacheField>
    <cacheField name="PROGRAMADO" numFmtId="0">
      <sharedItems/>
    </cacheField>
    <cacheField name="RADICADO" numFmtId="0">
      <sharedItems count="2">
        <s v="SI"/>
        <s v="NO"/>
      </sharedItems>
    </cacheField>
    <cacheField name="SUSCRITO" numFmtId="0">
      <sharedItems count="2">
        <s v="SI"/>
        <s v="NO"/>
      </sharedItems>
    </cacheField>
    <cacheField name="CONTRATO " numFmtId="0">
      <sharedItems containsBlank="1" count="38">
        <s v="002-2025"/>
        <s v="001-2025"/>
        <s v="004-2025"/>
        <s v="007-2025"/>
        <s v="012-2025"/>
        <s v="011-2025"/>
        <s v="013-2025"/>
        <m/>
        <s v="019-2025"/>
        <s v="018-2025"/>
        <s v="020-2025"/>
        <s v="021-2025"/>
        <s v="029-2025"/>
        <s v="031-2025"/>
        <s v="024-2025"/>
        <s v="025-2025"/>
        <s v="028-2025"/>
        <s v="017-2025"/>
        <s v="032-2025"/>
        <s v="034-2025"/>
        <s v="023-2025"/>
        <s v="006-2025"/>
        <s v="014-2025"/>
        <s v="015-2025"/>
        <s v="026-2025"/>
        <s v="009-2025"/>
        <s v="010-2025"/>
        <s v="008-2025"/>
        <s v="016-2025"/>
        <s v="030-2025"/>
        <s v="033-2025"/>
        <s v="040-2025"/>
        <s v="035-2025"/>
        <s v="027-2025"/>
        <s v="037-2025"/>
        <s v="039-2024"/>
        <s v="041-2025"/>
        <s v="DEVUELTO" u="1"/>
      </sharedItems>
    </cacheField>
    <cacheField name="VALOR" numFmtId="165">
      <sharedItems containsString="0" containsBlank="1" containsNumber="1" containsInteger="1" minValue="25623000" maxValue="534358230"/>
    </cacheField>
    <cacheField name="SALDO DE LA LÍNEA" numFmtId="165">
      <sharedItems containsMixedTypes="1" containsNumber="1" containsInteger="1" minValue="-6818950" maxValue="12100000000"/>
    </cacheField>
    <cacheField name="CONTRATO VIGENTE" numFmtId="0">
      <sharedItems containsBlank="1"/>
    </cacheField>
    <cacheField name="FECHA DE TERMINACIÓN" numFmtId="14">
      <sharedItems containsDate="1" containsBlank="1" containsMixedTypes="1" minDate="2025-05-19T00:00:00" maxDate="2027-10-24T00:00: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39">
  <r>
    <x v="0"/>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7"/>
    <s v="LP-01 APOYO A LA GESTIÓN DE LOS PROCESOS A CARGO DE PRESIDENCIA"/>
    <s v="1. Plan de Contratación"/>
    <s v="GASTOS OPERACIONALES"/>
    <s v="A-8-3-9-10-01"/>
    <s v="HONORARIOS VARIOS INCAUTADO"/>
    <s v="HONORARIOS VARIOS INCAUTADO"/>
    <x v="0"/>
    <n v="100"/>
    <x v="0"/>
    <n v="584632810"/>
    <n v="80111600"/>
    <x v="0"/>
    <x v="0"/>
    <s v="ENERO"/>
    <n v="338"/>
    <s v="DIAS "/>
    <x v="0"/>
    <s v="FRISCO "/>
    <n v="158777190"/>
    <n v="158777190"/>
    <s v="NO"/>
    <s v="NO"/>
    <s v="DESPACHO DEL PRESIDENTE"/>
    <s v="CO-DC-11001"/>
    <s v="AMELIA PEREZ PARRA"/>
    <n v="6017431444"/>
    <s v="amperez@saesas.gov.co"/>
    <s v="NO"/>
    <s v="NO"/>
    <s v="NO"/>
    <s v="SI"/>
    <s v="SI"/>
    <x v="0"/>
    <x v="0"/>
    <x v="0"/>
    <n v="158777190"/>
    <n v="0"/>
    <s v="002-2025"/>
    <d v="2025-12-31T00:00:00"/>
  </r>
  <r>
    <x v="1"/>
    <s v="Dimensión Procesos__x000a__x000a_Inventario de activos y portafolios administrados por la SAE actualizados"/>
    <s v="Diseñar, desarrollar e implementar la estrategia de transición digital que propenda por la transparencia y adecuada administración de los activos."/>
    <s v="2025LG137"/>
    <s v="LP-01 APOYO A LA GESTIÓN DE LOS PROCESOS A CARGO DE PRESIDENCIA"/>
    <s v="1. Plan de Contratación"/>
    <s v="GASTOS OPERACIONALES"/>
    <s v="A-8-3-9-10-01"/>
    <s v="HONORARIOS VARIOS INCAUTADO"/>
    <s v="HONORARIOS VARIOS INCAUTADO"/>
    <x v="0"/>
    <n v="100"/>
    <x v="0"/>
    <n v="584632810"/>
    <n v="80111600"/>
    <x v="1"/>
    <x v="0"/>
    <s v="ENERO"/>
    <n v="338"/>
    <s v="DIAS "/>
    <x v="0"/>
    <s v="FRISCO "/>
    <n v="256590000"/>
    <n v="256590000"/>
    <s v="NO"/>
    <s v="NO"/>
    <s v="DESPACHO DEL PRESIDENTE"/>
    <s v="CO-DC-11001"/>
    <s v="AMELIA PEREZ PARRA"/>
    <n v="6017431444"/>
    <s v="amperez@saesas.gov.co"/>
    <s v="NO"/>
    <s v="NO"/>
    <s v="NO"/>
    <s v="SI"/>
    <s v="SI"/>
    <x v="0"/>
    <x v="0"/>
    <x v="1"/>
    <n v="240909500"/>
    <n v="15680500"/>
    <s v="001-2025"/>
    <d v="2025-12-31T00:00:00"/>
  </r>
  <r>
    <x v="2"/>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7"/>
    <s v="LP-01 APOYO A LA GESTIÓN DE LOS PROCESOS A CARGO DE PRESIDENCIA"/>
    <s v="1. Plan de Contratación"/>
    <s v="GASTOS OPERACIONALES"/>
    <s v="A-8-3-9-10-01"/>
    <s v="HONORARIOS VARIOS INCAUTADO"/>
    <s v="HONORARIOS VARIOS INCAUTADO"/>
    <x v="0"/>
    <n v="100"/>
    <x v="0"/>
    <n v="584632810"/>
    <n v="80111600"/>
    <x v="2"/>
    <x v="1"/>
    <s v="FEBRERO"/>
    <n v="330"/>
    <s v="DIAS "/>
    <x v="0"/>
    <s v="FRISCO "/>
    <n v="155019150"/>
    <n v="155019150"/>
    <s v="NO"/>
    <s v="NO"/>
    <s v="DESPACHO DEL PRESIDENTE"/>
    <s v="CO-DC-11001"/>
    <s v="AMELIA PEREZ PARRA"/>
    <n v="6017431444"/>
    <s v="amperez@saesas.gov.co"/>
    <s v="NO"/>
    <s v="NO"/>
    <s v="NO"/>
    <s v="SI"/>
    <s v="SI"/>
    <x v="0"/>
    <x v="0"/>
    <x v="2"/>
    <n v="155019150"/>
    <n v="0"/>
    <s v="004-2025"/>
    <d v="2025-12-31T00:00:00"/>
  </r>
  <r>
    <x v="3"/>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7"/>
    <s v="LP-01 APOYO A LA GESTIÓN DE LOS PROCESOS A CARGO DE PRESIDENCIA"/>
    <s v="1. Plan de Contratación"/>
    <s v="GASTOS OPERACIONALES"/>
    <s v="A-8-3-9-10-01"/>
    <s v="HONORARIOS VARIOS INCAUTADO"/>
    <s v="HONORARIOS VARIOS INCAUTADO"/>
    <x v="0"/>
    <n v="100"/>
    <x v="0"/>
    <n v="584632810"/>
    <n v="80111600"/>
    <x v="3"/>
    <x v="1"/>
    <s v="FEBRERO"/>
    <n v="180"/>
    <s v="DIAS "/>
    <x v="0"/>
    <s v="FRISCO "/>
    <n v="54600000"/>
    <n v="54600000"/>
    <s v="NO"/>
    <s v="NO"/>
    <s v="DESPACHO DEL PRESIDENTE"/>
    <s v="CO-DC-11001"/>
    <s v="AMELIA PEREZ PARRA"/>
    <n v="6017431444"/>
    <s v="amperez@saesas.gov.co"/>
    <s v="NO"/>
    <s v="NO"/>
    <s v="NO"/>
    <s v="SI"/>
    <s v="SI"/>
    <x v="0"/>
    <x v="0"/>
    <x v="3"/>
    <n v="54600000"/>
    <n v="0"/>
    <s v="007-2025"/>
    <d v="2025-08-18T00:00:00"/>
  </r>
  <r>
    <x v="4"/>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7"/>
    <s v="LP-01 APOYO A LA GESTIÓN DE LOS PROCESOS A CARGO DE PRESIDENCIA"/>
    <s v="1. Plan de Contratación"/>
    <s v="GASTOS OPERACIONALES"/>
    <s v="A-8-3-9-10-01"/>
    <s v="HONORARIOS VARIOS INCAUTADO"/>
    <s v="HONORARIOS VARIOS INCAUTADO"/>
    <x v="0"/>
    <n v="100"/>
    <x v="0"/>
    <n v="1000000000"/>
    <n v="80111600"/>
    <x v="4"/>
    <x v="1"/>
    <s v="FEBRERO"/>
    <n v="6"/>
    <s v="MESES"/>
    <x v="0"/>
    <s v="FRISCO "/>
    <n v="66000000"/>
    <n v="66000000"/>
    <s v="NO"/>
    <s v="NO"/>
    <s v="DESPACHO DEL PRESIDENTE"/>
    <s v="CO-DC-11001"/>
    <s v="AMELIA PEREZ PARRA"/>
    <n v="6017431444"/>
    <s v="amperez@saesas.gov.co"/>
    <s v="NO"/>
    <s v="NO"/>
    <s v="NO"/>
    <s v="SI"/>
    <s v="SI"/>
    <x v="0"/>
    <x v="0"/>
    <x v="4"/>
    <n v="54600000"/>
    <n v="11400000"/>
    <s v="012-2025"/>
    <d v="2025-09-04T00:00:00"/>
  </r>
  <r>
    <x v="5"/>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7"/>
    <s v="LP-01 APOYO A LA GESTIÓN DE LOS PROCESOS A CARGO DE PRESIDENCIA"/>
    <s v="1. Plan de Contratación"/>
    <s v="GASTOS OPERACIONALES"/>
    <s v="A-8-3-9-10-01"/>
    <s v="HONORARIOS VARIOS INCAUTADO"/>
    <s v="HONORARIOS VARIOS INCAUTADO"/>
    <x v="0"/>
    <n v="100"/>
    <x v="0"/>
    <n v="584632810"/>
    <n v="80111600"/>
    <x v="5"/>
    <x v="1"/>
    <s v="FEBRERO"/>
    <n v="3"/>
    <s v="MESES"/>
    <x v="0"/>
    <s v="FRISCO "/>
    <n v="46000000"/>
    <n v="46000000"/>
    <s v="NO"/>
    <s v="NO"/>
    <s v="DESPACHO DEL PRESIDENTE"/>
    <s v="CO-DC-11001"/>
    <s v="AMELIA PEREZ PARRA"/>
    <n v="6017431444"/>
    <s v="amperez@saesas.gov.co"/>
    <s v="NO"/>
    <s v="NO"/>
    <s v="NO"/>
    <s v="SI"/>
    <s v="SI"/>
    <x v="0"/>
    <x v="0"/>
    <x v="5"/>
    <n v="46000000"/>
    <n v="0"/>
    <s v="011-2025"/>
    <d v="2025-05-24T00:00:00"/>
  </r>
  <r>
    <x v="6"/>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7"/>
    <s v="LP-01 APOYO A LA GESTIÓN DE LOS PROCESOS A CARGO DE PRESIDENCIA"/>
    <s v="1. Plan de Contratación"/>
    <s v="GASTOS OPERACIONALES"/>
    <s v="A-8-3-9-10-01"/>
    <s v="HONORARIOS VARIOS INCAUTADO"/>
    <s v="HONORARIOS VARIOS INCAUTADO"/>
    <x v="0"/>
    <n v="100"/>
    <x v="0"/>
    <n v="584632810"/>
    <n v="80111600"/>
    <x v="6"/>
    <x v="1"/>
    <s v="FEBRERO"/>
    <n v="180"/>
    <s v="DIAS "/>
    <x v="0"/>
    <s v="FRISCO "/>
    <n v="54600000"/>
    <n v="54600000"/>
    <s v="NO"/>
    <s v="NO"/>
    <s v="DESPACHO DEL PRESIDENTE"/>
    <s v="CO-DC-11001"/>
    <s v="AMELIA PEREZ PARRA"/>
    <n v="6017431444"/>
    <s v="amperez@saesas.gov.co"/>
    <s v="NO"/>
    <s v="NO"/>
    <s v="NO"/>
    <s v="SI"/>
    <s v="SI"/>
    <x v="0"/>
    <x v="0"/>
    <x v="6"/>
    <n v="54600000"/>
    <n v="0"/>
    <s v="013-2025"/>
    <d v="2025-09-04T00:00:00"/>
  </r>
  <r>
    <x v="7"/>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75"/>
    <s v="LP-01 GASTOS HONORARIOS ASESORIAS EXTINTAS"/>
    <s v="1. Plan de Contratación"/>
    <s v="GASTOS DE PERSONAL "/>
    <s v="A-1-0-2-12-01"/>
    <s v="HONORARIOS ADMINISTRATIVOS EXTINTO"/>
    <s v="HONORARIOS ADMINISTRATIVOS EXTINTO"/>
    <x v="1"/>
    <n v="520"/>
    <x v="1"/>
    <n v="300000000"/>
    <n v="80111600"/>
    <x v="7"/>
    <x v="1"/>
    <s v="MARZO "/>
    <n v="10"/>
    <s v="MESES"/>
    <x v="0"/>
    <s v="FRISCO"/>
    <n v="123233333"/>
    <n v="123233333"/>
    <s v="NO"/>
    <s v="NO"/>
    <s v="DIRECCCIÓN DE GOBIERNO, CONTROL Y DEMOCRATIZACIÓN DE SOCIEDADES"/>
    <s v="CO-DC-11001"/>
    <s v="NICOLAS RIOS GONZALEZ"/>
    <n v="3185325420"/>
    <s v="nirios@saesas.gov.co"/>
    <s v="NO"/>
    <s v="NO"/>
    <s v="NO"/>
    <s v="SI"/>
    <s v="SI"/>
    <x v="1"/>
    <x v="1"/>
    <x v="7"/>
    <m/>
    <n v="123233333"/>
    <s v="NO"/>
    <m/>
  </r>
  <r>
    <x v="8"/>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77"/>
    <s v="LP-01 GASTOS HONORARIOS JURIDICOS EN PROCESO"/>
    <s v="1. Plan de Contratación"/>
    <s v="GASTOS OPERACIONALES"/>
    <s v="A-8-3-9-10-02"/>
    <s v="HONORARIOS JURIDICOS INCAUTADO"/>
    <s v="HONORARIOS JURIDICOS INCAUTADO"/>
    <x v="1"/>
    <n v="520"/>
    <x v="1"/>
    <n v="100000000"/>
    <n v="80111600"/>
    <x v="8"/>
    <x v="2"/>
    <s v="MAYO "/>
    <n v="8"/>
    <s v="MESES"/>
    <x v="0"/>
    <s v="FRISCO"/>
    <n v="72000000"/>
    <n v="72000000"/>
    <s v="NO"/>
    <s v="NO"/>
    <s v="DIRECCCIÓN DE GOBIERNO, CONTROL Y DEMOCRATIZACIÓN DE SOCIEDADES"/>
    <s v="CO-DC-11001"/>
    <s v="NICOLAS RIOS GONZALEZ"/>
    <n v="3185325420"/>
    <s v="nirios@saesas.gov.co"/>
    <s v="NO"/>
    <s v="NO"/>
    <s v="NO"/>
    <s v="SI"/>
    <s v="SI"/>
    <x v="1"/>
    <x v="1"/>
    <x v="7"/>
    <m/>
    <n v="72000000"/>
    <s v="NO"/>
    <m/>
  </r>
  <r>
    <x v="9"/>
    <s v="Dimensión Productiva, Social y Ambiental_ _x000a_Destinación de activos al fomento a la economía popular."/>
    <s v="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
    <s v="2025LG138"/>
    <s v="LP-01 SERVICIOS PARA APOYO A LA GESTIÓN"/>
    <s v="1. Plan de Contratación"/>
    <s v="GASTOS OPERACIONALES"/>
    <s v="A-8-3-9-10-01"/>
    <s v="HONORARIOS VARIOS INCAUTADO"/>
    <s v="HONORARIOS VARIOS INCAUTADO"/>
    <x v="2"/>
    <n v="410"/>
    <x v="2"/>
    <n v="682400000"/>
    <n v="80111600"/>
    <x v="9"/>
    <x v="3"/>
    <s v="ABRIL"/>
    <n v="9"/>
    <s v="MESES"/>
    <x v="0"/>
    <s v="FRISCO "/>
    <n v="115720000"/>
    <n v="115720000"/>
    <s v="NO"/>
    <s v="NO"/>
    <s v="DIRECCIÓN PARA LA DEMOCRATIZACIÓN DE ACTIVOS INMUEBLES RURALES"/>
    <s v="CO-DC-11001"/>
    <s v="OMAR PINZON FLOREZ "/>
    <n v="7431444"/>
    <s v="opinzon@saesas.gov.co"/>
    <s v="NO"/>
    <s v="NO"/>
    <s v="NO"/>
    <s v="SI"/>
    <s v="SI"/>
    <x v="0"/>
    <x v="1"/>
    <x v="7"/>
    <m/>
    <n v="115720000"/>
    <s v="NO"/>
    <m/>
  </r>
  <r>
    <x v="10"/>
    <s v="Dimensión Productiva, Social y Ambiental_ _x000a_Destinación de activos al fomento a la economía popular."/>
    <s v="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
    <s v="2025LG138"/>
    <s v="LP-01 SERVICIOS PARA APOYO A LA GESTIÓN"/>
    <s v="1. Plan de Contratación"/>
    <s v="GASTOS OPERACIONALES"/>
    <s v="A-8-3-9-10-01"/>
    <s v="HONORARIOS VARIOS INCAUTADO"/>
    <s v="HONORARIOS VARIOS INCAUTADO"/>
    <x v="2"/>
    <n v="410"/>
    <x v="2"/>
    <n v="682400000"/>
    <n v="80111600"/>
    <x v="10"/>
    <x v="3"/>
    <s v="ABRIL"/>
    <n v="9"/>
    <s v="MESES"/>
    <x v="0"/>
    <s v="FRISCO "/>
    <n v="100000000"/>
    <n v="100000000"/>
    <s v="NO"/>
    <s v="NO"/>
    <s v="DIRECCIÓN PARA LA DEMOCRATIZACIÓN DE ACTIVOS INMUEBLES RURALES"/>
    <s v="CO-DC-11001"/>
    <s v="OMAR PINZON FLOREZ "/>
    <n v="7431444"/>
    <s v="opinzon@saesas.gov.co"/>
    <s v="NO"/>
    <s v="NO"/>
    <s v="NO"/>
    <s v="SI"/>
    <s v="SI"/>
    <x v="0"/>
    <x v="1"/>
    <x v="8"/>
    <m/>
    <n v="100000000"/>
    <s v="NO"/>
    <m/>
  </r>
  <r>
    <x v="11"/>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8"/>
    <s v="LP-01 SERVICIOS PARA APOYO A LA GESTIÓN"/>
    <s v="1. Plan de Contratación"/>
    <s v="GASTOS OPERACIONALES"/>
    <s v="A-8-3-9-10-01"/>
    <s v="HONORARIOS VARIOS INCAUTADO"/>
    <s v="HONORARIOS VARIOS INCAUTADO"/>
    <x v="2"/>
    <n v="410"/>
    <x v="2"/>
    <n v="682400000"/>
    <n v="80111600"/>
    <x v="11"/>
    <x v="3"/>
    <s v="ABRIL"/>
    <n v="9"/>
    <s v="MESES"/>
    <x v="0"/>
    <s v="FRISCO "/>
    <n v="94680000"/>
    <n v="94680000"/>
    <s v="NO"/>
    <s v="NO"/>
    <s v="DIRECCIÓN PARA LA DEMOCRATIZACIÓN DE ACTIVOS INMUEBLES RURALES"/>
    <s v="CO-DC-11001"/>
    <s v="OMAR PINZON FLOREZ "/>
    <n v="7431444"/>
    <s v="opinzon@saesas.gov.co"/>
    <s v="NO"/>
    <s v="NO"/>
    <s v="NO"/>
    <s v="SI"/>
    <s v="SI"/>
    <x v="0"/>
    <x v="1"/>
    <x v="7"/>
    <m/>
    <n v="94680000"/>
    <s v="NO"/>
    <m/>
  </r>
  <r>
    <x v="12"/>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8"/>
    <s v="LP-01 SERVICIOS PARA APOYO A LA GESTIÓN"/>
    <s v="1. Plan de Contratación"/>
    <s v="GASTOS OPERACIONALES"/>
    <s v="A-8-3-9-10-01"/>
    <s v="HONORARIOS VARIOS INCAUTADO"/>
    <s v="HONORARIOS VARIOS INCAUTADO"/>
    <x v="2"/>
    <n v="410"/>
    <x v="2"/>
    <n v="682400000"/>
    <n v="80111600"/>
    <x v="12"/>
    <x v="3"/>
    <s v="ABRIL"/>
    <n v="9"/>
    <s v="MESES"/>
    <x v="0"/>
    <s v="FRISCO "/>
    <n v="100000000"/>
    <n v="100000000"/>
    <s v="NO"/>
    <s v="NO"/>
    <s v="DIRECCIÓN PARA LA DEMOCRATIZACIÓN DE ACTIVOS INMUEBLES RURALES"/>
    <s v="CO-DC-11001"/>
    <s v="OMAR PINZON FLOREZ "/>
    <n v="7431444"/>
    <s v="opinzon@saesas.gov.co"/>
    <s v="NO"/>
    <s v="NO"/>
    <s v="NO"/>
    <s v="SI"/>
    <s v="SI"/>
    <x v="0"/>
    <x v="1"/>
    <x v="9"/>
    <m/>
    <n v="100000000"/>
    <s v="NO"/>
    <m/>
  </r>
  <r>
    <x v="13"/>
    <s v="Dimensión Productiva, Social y Ambiental_ _x000a_Destinación de activos al fomento a la economía popular."/>
    <s v="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
    <s v="2025LG138"/>
    <s v="LP-01 SERVICIOS PARA APOYO A LA GESTIÓN"/>
    <s v="1. Plan de Contratación"/>
    <s v="GASTOS OPERACIONALES"/>
    <s v="A-8-3-9-10-01"/>
    <s v="HONORARIOS VARIOS INCAUTADO"/>
    <s v="HONORARIOS VARIOS INCAUTADO"/>
    <x v="2"/>
    <n v="410"/>
    <x v="2"/>
    <n v="682400000"/>
    <n v="80111600"/>
    <x v="13"/>
    <x v="3"/>
    <s v="ABRIL"/>
    <n v="9"/>
    <s v="MESES"/>
    <x v="0"/>
    <s v="FRISCO"/>
    <n v="94680000"/>
    <n v="94680000"/>
    <s v="NO"/>
    <s v="NO"/>
    <s v="DIRECCIÓN PARA LA DEMOCRATIZACIÓN DE ACTIVOS INMUEBLES RURALES"/>
    <s v="CO-DC-11001"/>
    <s v="OMAR PINZON FLOREZ "/>
    <n v="7431444"/>
    <s v="opinzon@saesas.gov.co"/>
    <s v="NO"/>
    <s v="NO"/>
    <s v="NO"/>
    <s v="SI"/>
    <s v="SI"/>
    <x v="0"/>
    <x v="1"/>
    <x v="10"/>
    <m/>
    <n v="94680000"/>
    <s v="NO"/>
    <m/>
  </r>
  <r>
    <x v="14"/>
    <s v="Dimensión Productiva, Social y Ambiental_ _x000a_Destinación de activos al fomento a la economía popular."/>
    <s v="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
    <s v="2025LG138"/>
    <s v="LP-01 SERVICIOS PARA APOYO A LA GESTIÓN"/>
    <s v="1. Plan de Contratación"/>
    <s v="GASTOS OPERACIONALES"/>
    <s v="A-8-3-9-10-01"/>
    <s v="HONORARIOS VARIOS INCAUTADO"/>
    <s v="HONORARIOS VARIOS INCAUTADO"/>
    <x v="2"/>
    <n v="410"/>
    <x v="2"/>
    <n v="682400000"/>
    <n v="80111600"/>
    <x v="14"/>
    <x v="3"/>
    <s v="ABRIL"/>
    <n v="9"/>
    <s v="MESES"/>
    <x v="0"/>
    <s v="FRISCO"/>
    <n v="115720000"/>
    <n v="115720000"/>
    <s v="NO"/>
    <s v="NO"/>
    <s v="DIRECCIÓN PARA LA DEMOCRATIZACIÓN DE ACTIVOS INMUEBLES RURALES"/>
    <s v="CO-DC-11001"/>
    <s v="OMAR PINZON FLOREZ "/>
    <n v="7431444"/>
    <s v="opinzon@saesas.gov.co"/>
    <s v="NO"/>
    <s v="NO"/>
    <s v="NO"/>
    <s v="SI"/>
    <s v="SI"/>
    <x v="0"/>
    <x v="1"/>
    <x v="11"/>
    <m/>
    <n v="115720000"/>
    <s v="NO"/>
    <m/>
  </r>
  <r>
    <x v="15"/>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8"/>
    <s v="LP-01 SERVICIOS PARA APOYO A LA GESTIÓN"/>
    <s v="1. Plan de Contratación"/>
    <s v="GASTOS OPERACIONALES"/>
    <s v="A-8-3-9-10-01"/>
    <s v="HONORARIOS VARIOS INCAUTADO"/>
    <s v="HONORARIOS VARIOS INCAUTADO"/>
    <x v="2"/>
    <n v="410"/>
    <x v="2"/>
    <n v="682400000"/>
    <n v="80111600"/>
    <x v="15"/>
    <x v="3"/>
    <s v="ABRIL"/>
    <n v="9"/>
    <s v="MESES"/>
    <x v="0"/>
    <s v="FRISCO"/>
    <n v="94680000"/>
    <n v="94680000"/>
    <s v="NO"/>
    <s v="NO"/>
    <s v="DIRECCIÓN PARA LA DEMOCRATIZACIÓN DE ACTIVOS INMUEBLES RURALES"/>
    <s v="CO-DC-11001"/>
    <s v="OMAR PINZON FLOREZ "/>
    <n v="7431444"/>
    <s v="opinzon@saesas.gov.co"/>
    <s v="NO"/>
    <s v="NO"/>
    <s v="NO"/>
    <s v="SI"/>
    <s v="SI"/>
    <x v="0"/>
    <x v="1"/>
    <x v="7"/>
    <m/>
    <n v="94680000"/>
    <s v="NO"/>
    <m/>
  </r>
  <r>
    <x v="16"/>
    <s v="Dimensión de Grupos de Interés__x000a__x000a_Fomento y fortalecimiento de alianzas público populares y comunitarios"/>
    <s v="Promover la creación de alianzas público populares, comunitarias, cooperativas, corporativas y de cooperación internacional, que permitan el uso y el goce de bienes y servicios de la SAE por parte de sus grupos de interés, así como su fortalecimiento institucional."/>
    <s v="2025LG140"/>
    <s v="LP-01 HONORARIOS Y ASESORIA APOYO"/>
    <s v="1. Plan de Contratación"/>
    <s v="GASTOS DE PERSONAL "/>
    <s v="A-1-0-2-12-01"/>
    <s v="HONORARIOS ADMINISTRATIVOS EXTINTO"/>
    <s v="HONORARIOS ADMINISTRATIVOS EXTINTO"/>
    <x v="3"/>
    <n v="420"/>
    <x v="3"/>
    <n v="403500000"/>
    <n v="80111600"/>
    <x v="16"/>
    <x v="3"/>
    <s v="ABRIL"/>
    <n v="9"/>
    <s v="MESES"/>
    <x v="0"/>
    <s v="FRISCO "/>
    <n v="57600000"/>
    <n v="57600000"/>
    <s v="SI"/>
    <s v="NO SOLICITADAS"/>
    <s v="DIRECCCIÓN PARA LA DEMOCRATIZACIÓN DE ACTIVOS INMUEBLES URBANOS"/>
    <s v="CO-DC-11001"/>
    <s v="MARIA CATALINA SERRANO RICO"/>
    <n v="6017431444"/>
    <s v="mcserrano@saesas.gov.co"/>
    <s v="NO"/>
    <s v="NO"/>
    <s v="NO"/>
    <s v="SI"/>
    <s v="SI"/>
    <x v="0"/>
    <x v="0"/>
    <x v="12"/>
    <n v="57600000"/>
    <n v="0"/>
    <s v="SI"/>
    <d v="2025-12-31T00:00:00"/>
  </r>
  <r>
    <x v="17"/>
    <s v="Dimensión de Grupos de Interés__x000a__x000a_Fomento y fortalecimiento de alianzas público populares y comunitarios"/>
    <s v="Promover la creación de alianzas público populares, comunitarias, cooperativas, corporativas y de cooperación internacional, que permitan el uso y el goce de bienes y servicios de la SAE por parte de sus grupos de interés, así como su fortalecimiento institucional."/>
    <s v="2025LG140"/>
    <s v="LP-01 HONORARIOS Y ASESORIA APOYO"/>
    <s v="1. Plan de Contratación"/>
    <s v="GASTOS DE PERSONAL "/>
    <s v="A-1-0-2-12-01"/>
    <s v="HONORARIOS ADMINISTRATIVOS EXTINTO"/>
    <s v="HONORARIOS ADMINISTRATIVOS EXTINTO"/>
    <x v="3"/>
    <n v="420"/>
    <x v="3"/>
    <n v="403500000"/>
    <n v="80111600"/>
    <x v="17"/>
    <x v="3"/>
    <s v="ABRIL"/>
    <n v="9"/>
    <s v="MESES"/>
    <x v="0"/>
    <s v="FRISCO "/>
    <n v="99000000"/>
    <n v="99000000"/>
    <s v="SI"/>
    <s v="NO SOLICITADAS"/>
    <s v="DIRECCCIÓN PARA LA DEMOCRATIZACIÓN DE ACTIVOS INMUEBLES URBANOS"/>
    <s v="CO-DC-11001"/>
    <s v="MARIA CATALINA SERRANO RICO"/>
    <n v="6017431444"/>
    <s v="mcserrano@saesas.gov.co"/>
    <s v="NO"/>
    <s v="NO"/>
    <s v="NO"/>
    <s v="SI"/>
    <s v="SI"/>
    <x v="0"/>
    <x v="1"/>
    <x v="7"/>
    <m/>
    <n v="99000000"/>
    <s v="NO"/>
    <m/>
  </r>
  <r>
    <x v="18"/>
    <s v="Dimensión de Grupos de Interés__x000a__x000a_Fomento y fortalecimiento de alianzas público populares y comunitarios"/>
    <s v="Promover la creación de alianzas público populares, comunitarias, cooperativas, corporativas y de cooperación internacional, que permitan el uso y el goce de bienes y servicios de la SAE por parte de sus grupos de interés, así como su fortalecimiento institucional."/>
    <s v="2025LG140"/>
    <s v="LP-01 HONORARIOS Y ASESORIA APOYO"/>
    <s v="1. Plan de Contratación"/>
    <s v="GASTOS DE PERSONAL "/>
    <s v="A-1-0-2-12-01"/>
    <s v="HONORARIOS ADMINISTRATIVOS EXTINTO"/>
    <s v="HONORARIOS ADMINISTRATIVOS EXTINTO"/>
    <x v="3"/>
    <n v="420"/>
    <x v="3"/>
    <n v="403500000"/>
    <n v="80111600"/>
    <x v="18"/>
    <x v="3"/>
    <s v="ABRIL"/>
    <n v="9"/>
    <s v="MESES"/>
    <x v="0"/>
    <s v="FRISCO "/>
    <n v="90000000"/>
    <n v="90000000"/>
    <s v="SI"/>
    <s v="NO SOLICITADAS"/>
    <s v="DIRECCCIÓN PARA LA DEMOCRATIZACIÓN DE ACTIVOS INMUEBLES URBANOS"/>
    <s v="CO-DC-11001"/>
    <s v="MARIA CATALINA SERRANO RICO"/>
    <n v="6017431444"/>
    <s v="mcserrano@saesas.gov.co"/>
    <s v="NO"/>
    <s v="NO"/>
    <s v="NO"/>
    <s v="SI"/>
    <s v="SI"/>
    <x v="0"/>
    <x v="0"/>
    <x v="13"/>
    <n v="90000000"/>
    <n v="0"/>
    <s v="SI"/>
    <d v="2025-12-31T00:00:00"/>
  </r>
  <r>
    <x v="19"/>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09"/>
    <s v="LP-01 PRESTACION SERVICIO DE LIMPIEZA Y SERVICIOS GENERALES PARA LAS AGENCIAS TERRITORIALES Y DEMAS SEDES DE LA SAE QUE ASI LO REQUIERAN"/>
    <s v="1. Plan de Contratación"/>
    <s v="GASTOS GENERALES "/>
    <s v="A-2-0-4-05-08"/>
    <s v="SERVICIO DE ASEO Y CAFETERIA"/>
    <s v="SERVICIO DE ASEO Y CAFETERIA"/>
    <x v="4"/>
    <n v="202"/>
    <x v="4"/>
    <n v="42300000"/>
    <n v="76111500"/>
    <x v="19"/>
    <x v="3"/>
    <s v="MARZO"/>
    <n v="10"/>
    <s v="MESES"/>
    <x v="1"/>
    <s v="SAE"/>
    <n v="40000000"/>
    <n v="40000000"/>
    <s v="NO"/>
    <s v="NO"/>
    <s v="DIRECCION ADMINISTRATIVA "/>
    <s v="CO-DC-11001"/>
    <s v="DIANA ROCIO MARTINEZ CABRERA"/>
    <n v="7431444"/>
    <s v="drmartinez@saesas.gov.co "/>
    <s v="NO"/>
    <s v="NO"/>
    <s v="NO"/>
    <s v="SI"/>
    <s v="SI"/>
    <x v="0"/>
    <x v="1"/>
    <x v="7"/>
    <m/>
    <n v="40000000"/>
    <s v="NO"/>
    <m/>
  </r>
  <r>
    <x v="20"/>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39"/>
    <s v="LP-29 SUMINISTRO DE COMBUSTIBLE PARQUE AUTOMOTOR AL SERVICIO DE LA SAE  MAS ACPM PLANTA ELECTRICA EDIFICIO SEDE PRINCIPAL  - SAE"/>
    <s v="1. Plan de Contratación"/>
    <s v="GASTOS GENERALES "/>
    <s v="A-2-0-4-04-01"/>
    <s v="COMBUSTIBLE Y LUBRICANTES"/>
    <s v="COMBUSTIBLE Y LUBRICANTES"/>
    <x v="4"/>
    <n v="202"/>
    <x v="4"/>
    <n v="199874926"/>
    <n v="78181701"/>
    <x v="20"/>
    <x v="2"/>
    <s v="MAYO"/>
    <n v="1"/>
    <s v="AÑOS"/>
    <x v="2"/>
    <s v="SAE"/>
    <n v="490000000"/>
    <n v="280000000"/>
    <s v="SI"/>
    <s v="EN SOLICITUD"/>
    <s v="DIRECCION ADMINISTRATIVA "/>
    <s v="CO-DC-11001"/>
    <s v="DIANA ROCIO MARTINEZ CABRERA"/>
    <n v="7431444"/>
    <s v="drmartinez@saesas.gov.co "/>
    <s v="NO"/>
    <s v="NO"/>
    <s v="NO"/>
    <s v="SI"/>
    <s v="SI"/>
    <x v="1"/>
    <x v="1"/>
    <x v="7"/>
    <m/>
    <n v="490000000"/>
    <s v="036-2021"/>
    <d v="2025-07-12T00:00:00"/>
  </r>
  <r>
    <x v="21"/>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40"/>
    <s v="LP-24 SUMINISTRO DE HERRAMIENTAS, ELEMENTOS DE FERRETERIA, MATERIALES ELECTRICOS, ELECTRONICOS, MATERIALES DE CONSTRUCCION Y ELEMENTOS OCASIONALES NECESARIOS PARA EL FUNCIONAMIENTO DE LA SEDE, REGIONALES, BODEGA ARCHIVO -"/>
    <s v="1. Plan de Contratación"/>
    <s v="GASTOS GENERALES "/>
    <s v="A-2-0-4-04-09"/>
    <s v="ELEMENTOS DE FERRETERIA"/>
    <s v="ELEMENTOS DE FERRETERIA"/>
    <x v="4"/>
    <n v="202"/>
    <x v="4"/>
    <n v="38000000"/>
    <s v="27112200;27112800;30161500;31161500;39101600;39101900;39121300;39121400;39121321"/>
    <x v="21"/>
    <x v="3"/>
    <s v="MARZO"/>
    <n v="1"/>
    <s v="AÑOS"/>
    <x v="3"/>
    <s v="SAE"/>
    <n v="57500000"/>
    <n v="38000000"/>
    <s v="SI"/>
    <s v="EN SOLICITUD"/>
    <s v="DIRECCION ADMINISTRATIVA "/>
    <s v="CO-DC-11001"/>
    <s v="DIANA ROCIO MARTINEZ CABRERA"/>
    <n v="7431444"/>
    <s v="drmartinez@saesas.gov.co "/>
    <s v="NO"/>
    <s v="NO"/>
    <s v="NO"/>
    <s v="SI"/>
    <s v="SI"/>
    <x v="0"/>
    <x v="1"/>
    <x v="7"/>
    <m/>
    <n v="57500000"/>
    <s v="NO"/>
    <m/>
  </r>
  <r>
    <x v="22"/>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43"/>
    <s v="LP-33 MANTENIMIENTO DE LOS BIENES MUEBLES DE LA SEDE PRINCIPAL, BODEGA Y REGIONALES - SAE"/>
    <s v="1. Plan de Contratación"/>
    <s v="GASTOS GENERALES "/>
    <s v="A-2-0-4-05-02"/>
    <s v="MANTENIMIENTO DE BIENES MUEBLES, EQUIPOS Y ENSERES"/>
    <s v="MANTENIMIENTO DE BIENES MUEBLES, EQUIPOS Y ENSERES"/>
    <x v="4"/>
    <n v="202"/>
    <x v="4"/>
    <n v="22638389"/>
    <s v="_x0009_48101716;48101716;72154402"/>
    <x v="22"/>
    <x v="1"/>
    <s v="FEBRERO"/>
    <n v="10"/>
    <s v="MESES"/>
    <x v="1"/>
    <s v="SAE"/>
    <n v="14235000"/>
    <n v="14235000"/>
    <s v="NO"/>
    <s v="NO"/>
    <s v="DIRECCION ADMINISTRATIVA "/>
    <s v="CO-DC-11001"/>
    <s v="DIANA ROCIO MARTINEZ CABRERA"/>
    <n v="7431444"/>
    <s v="drmartinez@saesas.gov.co "/>
    <s v="NO"/>
    <s v="NO"/>
    <s v="NO"/>
    <s v="SI"/>
    <s v="SI"/>
    <x v="1"/>
    <x v="1"/>
    <x v="7"/>
    <m/>
    <n v="14235000"/>
    <s v="NO"/>
    <m/>
  </r>
  <r>
    <x v="23"/>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44"/>
    <s v="LP-20 MANTENIMIENTO  PREVENTIVO Y CORRECTIVO CON SUMINISTRO DE REPUESTOS ORIGINALES Y MANO DE OBRA PARA LOS VEHÍCULOS QUE CONFORMAN EL PARQUE AUTOMOTOR ACTIVO DE LA SOCIEDAD Y LOS QUE LE HAYAN SIDO Y LE SEAN ASIGNADOS"/>
    <s v="1. Plan de Contratación"/>
    <s v="GASTOS GENERALES "/>
    <s v="A-2-0-4-05-06"/>
    <s v="MANTENIMIENTO EQUIPO DE NAVEGACION Y TRANSPORTE"/>
    <s v="MANTENIMIENTO EQUIPO DE NAVEGACION Y TRANSPORTE"/>
    <x v="4"/>
    <n v="202"/>
    <x v="4"/>
    <n v="440000000"/>
    <s v="25191700;26111703;78181500;78181600"/>
    <x v="23"/>
    <x v="3"/>
    <s v="MARZO"/>
    <n v="1"/>
    <s v="AÑOS"/>
    <x v="1"/>
    <s v="SAE"/>
    <n v="680000000"/>
    <n v="440000000"/>
    <s v="SI"/>
    <s v="EN SOLICITUD"/>
    <s v="DIRECCION ADMINISTRATIVA "/>
    <s v="CO-DC-11001"/>
    <s v="DIANA ROCIO MARTINEZ CABRERA"/>
    <n v="7431444"/>
    <s v="drmartinez@saesas.gov.co "/>
    <s v="NO"/>
    <s v="NO"/>
    <s v="NO"/>
    <s v="SI"/>
    <s v="SI"/>
    <x v="0"/>
    <x v="1"/>
    <x v="7"/>
    <m/>
    <n v="680000000"/>
    <s v="NO"/>
    <m/>
  </r>
  <r>
    <x v="24"/>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45"/>
    <s v="LP-17 SUMINISTRO DE ELEMENTOS, INSUMOS Y MAQUINARIA PARA EL SERVICIO DE ASEO Y CAFETERIA"/>
    <s v="1. Plan de Contratación"/>
    <s v="GASTOS GENERALES "/>
    <s v="A-2-0-4-04-17"/>
    <s v="PRODUCTOS Y SUMINISTROS DE ASEO, CAFETERIA, RESTAURANTE Y OTROS"/>
    <s v="PRODUCTOS Y SUMINISTROS DE ASEO, CAFETERIA, RESTAURANTE Y OTROS"/>
    <x v="4"/>
    <n v="202"/>
    <x v="4"/>
    <n v="500000000"/>
    <s v="47121500;47121600;47121700;47121800;47121900;47131500;47131600;47131700;47131800;47132100;50161509;50201700;52151500"/>
    <x v="24"/>
    <x v="1"/>
    <s v="FEBRERO"/>
    <n v="1"/>
    <s v="AÑOS"/>
    <x v="3"/>
    <s v="SAE"/>
    <n v="474000000"/>
    <n v="351000000"/>
    <s v="SI"/>
    <s v="EN SOLICITUD"/>
    <s v="DIRECCION ADMINISTRATIVA "/>
    <s v="CO-DC-11001"/>
    <s v="DIANA ROCIO MARTINEZ CABRERA"/>
    <n v="7431444"/>
    <s v="drmartinez@saesas.gov.co "/>
    <s v="NO"/>
    <s v="NO"/>
    <s v="NO"/>
    <s v="SI"/>
    <s v="SI"/>
    <x v="0"/>
    <x v="1"/>
    <x v="7"/>
    <m/>
    <n v="474000000"/>
    <s v="NO"/>
    <m/>
  </r>
  <r>
    <x v="25"/>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82"/>
    <s v="LP-NA VIATICOS Y GASTOS DE VIAJE ALIMENTACIÓN"/>
    <s v="1. Plan de Contratación"/>
    <s v="GASTOS GENERALES"/>
    <s v="A-2-0-4-11-01"/>
    <s v="ALIMENTACION"/>
    <s v="ALIMENTACION"/>
    <x v="4"/>
    <n v="202"/>
    <x v="4"/>
    <n v="540000000"/>
    <s v="90111501;90101600;90101700;90101604"/>
    <x v="25"/>
    <x v="1"/>
    <s v="FEBRERO"/>
    <n v="1"/>
    <s v="AÑOS"/>
    <x v="4"/>
    <s v="SAE"/>
    <n v="726000000"/>
    <n v="540000000"/>
    <s v="SI"/>
    <s v="EN SOLICITUD"/>
    <s v="DIRECCION ADMINISTRATIVA "/>
    <s v="CO-DC-11001"/>
    <s v="DIANA ROCIO MARTINEZ CABRERA"/>
    <n v="7431444"/>
    <s v="drmartinez@saesas.gov.co "/>
    <s v="NO"/>
    <s v="NO"/>
    <s v="SI"/>
    <s v="SI"/>
    <s v="SI"/>
    <x v="0"/>
    <x v="1"/>
    <x v="7"/>
    <m/>
    <n v="726000000"/>
    <s v="064-2022"/>
    <d v="2025-05-27T00:00:00"/>
  </r>
  <r>
    <x v="26"/>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24"/>
    <s v="LP-02 COMISIONES VENTA INMUEBLES Y OTROS EXTINTO"/>
    <s v="1. Plan de Contratación"/>
    <s v="GASTOS GENERALES_x000a__x000a_GASTOS DE OPERACIÓN "/>
    <s v="A-2-0-4-42-01_x000a_A-8-3-9-05-02"/>
    <s v="COMISIONES CARTERA, INMUEBLES, MUEBLES, MARTILLO Y OTROS EXTINTO_x000a_COMISIONES CARTERA, INMUEBLES, MUEBLES, MARTILLO Y OTROS INCAUTADO"/>
    <s v="COMISIONES CARTERA, INMUEBLES, MUEBLES, MARTILLO Y OTROS EXTINTO_x000a_COMISIONES CARTERA, INMUEBLES, MUEBLES, MARTILLO Y OTROS INCAUTADO"/>
    <x v="5"/>
    <n v="150"/>
    <x v="5"/>
    <n v="6667929630"/>
    <n v="80111600"/>
    <x v="26"/>
    <x v="1"/>
    <s v="FEBRERO"/>
    <n v="12"/>
    <s v="MESES"/>
    <x v="0"/>
    <s v="FRISCO"/>
    <n v="396211109"/>
    <n v="396211109"/>
    <s v="NO"/>
    <s v="NO"/>
    <s v="DIRECCIÓN COMERCIAL"/>
    <s v="CO-DC-11001"/>
    <s v="DIEGO YOANI CHAVEZ PRIETO"/>
    <n v="7431445"/>
    <s v="dchavez@saesas.gov.co"/>
    <s v="NO"/>
    <s v="NO"/>
    <s v="NO"/>
    <s v="SI"/>
    <s v="SI"/>
    <x v="0"/>
    <x v="1"/>
    <x v="7"/>
    <m/>
    <n v="396211109"/>
    <s v="044-2024"/>
    <d v="2025-06-03T00:00:00"/>
  </r>
  <r>
    <x v="27"/>
    <s v="Dimensión Procesos__x000a__x000a_Inventario de activos y portafolios administrados por la SAE actualizados"/>
    <s v="Estandarizar, actualizar y mejoraar la información del inventario de activos administrados por la SAE con criterios de calidad y opotunidad."/>
    <s v="2025LG028"/>
    <s v="LP-01 HONORARIOS SERVICIOS PROFESIONALES PARA APOYAR A LA GERENCIA"/>
    <s v="1. Plan de Contratación"/>
    <s v="GASTOS DE PERSONAL "/>
    <s v="A-1-0-2-12-01"/>
    <s v="HONORARIOS ADMINISTRATIVOS EXTINTO"/>
    <s v="HONORARIOS ADMINISTRATIVOS EXTINTO"/>
    <x v="5"/>
    <n v="150"/>
    <x v="5"/>
    <n v="150000000"/>
    <n v="80111614"/>
    <x v="27"/>
    <x v="2"/>
    <s v="ABRIL"/>
    <n v="8"/>
    <s v="MESES"/>
    <x v="0"/>
    <s v="FRISCO"/>
    <n v="56940000"/>
    <n v="56940000"/>
    <s v="NO"/>
    <s v="NO"/>
    <s v="DIRECCIÓN COMERCIAL"/>
    <s v="CO-DC-11001"/>
    <s v="DIEGO YOANI CHAVEZ PRIETO"/>
    <n v="7431445"/>
    <s v="dchavez@saesas.gov.co"/>
    <s v="NO"/>
    <s v="NO"/>
    <s v="NO"/>
    <s v="SI"/>
    <s v="SI"/>
    <x v="0"/>
    <x v="0"/>
    <x v="14"/>
    <n v="56940000"/>
    <n v="0"/>
    <s v="SI"/>
    <s v="31/12/20258"/>
  </r>
  <r>
    <x v="28"/>
    <s v="Dimensión Procesos__x000a__x000a_Inventario de activos y portafolios administrados por la SAE actualizados"/>
    <s v="Estandarizar, actualizar y mejoraar la información del inventario de activos administrados por la SAE con criterios de calidad y opotunidad."/>
    <s v="2025LG028"/>
    <s v="LP-01 HONORARIOS SERVICIOS PROFESIONALES PARA APOYAR A LA GERENCIA"/>
    <s v="1. Plan de Contratación"/>
    <s v="GASTOS DE PERSONAL "/>
    <s v="A-1-0-2-12-01"/>
    <s v="HONORARIOS ADMINISTRATIVOS EXTINTO"/>
    <s v="HONORARIOS ADMINISTRATIVOS EXTINTO"/>
    <x v="5"/>
    <n v="150"/>
    <x v="5"/>
    <n v="150000000"/>
    <n v="80111607"/>
    <x v="28"/>
    <x v="2"/>
    <s v="ABRIL"/>
    <n v="8"/>
    <s v="MESES"/>
    <x v="0"/>
    <s v="FRISCO"/>
    <n v="56940000"/>
    <n v="56940000"/>
    <s v="NO"/>
    <s v="NO"/>
    <s v="DIRECCIÓN COMERCIAL"/>
    <s v="CO-DC-11001"/>
    <s v="DIEGO YOANI CHAVEZ PRIETO"/>
    <n v="7431445"/>
    <s v="dchavez@saesas.gov.co"/>
    <s v="NO"/>
    <s v="NO"/>
    <s v="NO"/>
    <s v="SI"/>
    <s v="SI"/>
    <x v="0"/>
    <x v="1"/>
    <x v="7"/>
    <m/>
    <n v="56940000"/>
    <s v="NO"/>
    <m/>
  </r>
  <r>
    <x v="29"/>
    <s v="Dimensión Procesos__x000a__x000a_Inventario de activos y portafolios administrados por la SAE actualizados"/>
    <s v="Estandarizar, actualizar y mejoraar la información del inventario de activos administrados por la SAE con criterios de calidad y opotunidad."/>
    <s v="2025LG291"/>
    <s v="LP-32 ADQUIRIR MÓDULOS DE SUBASTA ELECTRÓNICA PARA LA REALIZACIÓN DE LOS TRAMITES CONTRACTUALES DE LA SAE"/>
    <s v="1. Plan de Contratación"/>
    <s v="GASTOS GENERALES "/>
    <s v="A-2-0-4-01-08"/>
    <s v="SOFTWARE"/>
    <s v="SOFTWARE"/>
    <x v="6"/>
    <n v="320"/>
    <x v="6"/>
    <n v="40000000"/>
    <n v="80141705"/>
    <x v="29"/>
    <x v="3"/>
    <s v="MARZO"/>
    <n v="9"/>
    <s v="MESES"/>
    <x v="5"/>
    <s v="SAE"/>
    <n v="40000000"/>
    <n v="40000000"/>
    <s v="NO"/>
    <s v="NO"/>
    <s v="DIRECCIÓN DE CONTRATACIÓN"/>
    <s v="CO-DC-11001"/>
    <s v="DIEGO ROMERO RIVERA"/>
    <n v="6017431444"/>
    <s v="diromero@saesas.gov.co"/>
    <s v="NO"/>
    <s v="NO"/>
    <s v="NO"/>
    <s v="SI"/>
    <s v="SI"/>
    <x v="1"/>
    <x v="1"/>
    <x v="7"/>
    <m/>
    <n v="40000000"/>
    <s v="NO"/>
    <m/>
  </r>
  <r>
    <x v="30"/>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92"/>
    <s v="LP-01 HONORARIOS DE SERVICIOS PROFESIONALES PARA EL APOYO A LA GESTIÓN"/>
    <s v="1. Plan de Contratación"/>
    <s v="GASTOS DE PERSONAL "/>
    <s v="A-1-0-2-12-01"/>
    <s v="HONORARIOS ADMINISTRATIVOS"/>
    <s v="HONORARIOS ADMINISTRATIVOS"/>
    <x v="6"/>
    <n v="320"/>
    <x v="6"/>
    <n v="248000000"/>
    <n v="80111600"/>
    <x v="30"/>
    <x v="2"/>
    <s v="ABRIL"/>
    <n v="6"/>
    <s v="MESES"/>
    <x v="0"/>
    <s v="SAE"/>
    <n v="39672000"/>
    <n v="39672000"/>
    <s v="NO"/>
    <s v="NO"/>
    <s v="DIRECCIÓN DE CONTRATACIÓN"/>
    <s v="CO-DC-11001"/>
    <s v="DIEGO ROMERO RIVERA"/>
    <n v="6017431444"/>
    <s v="diromero@saesas.gov.co"/>
    <s v="NO"/>
    <s v="NO"/>
    <s v="NO"/>
    <s v="SI"/>
    <s v="SI"/>
    <x v="0"/>
    <x v="0"/>
    <x v="15"/>
    <n v="39672000"/>
    <n v="0"/>
    <s v="025-2025"/>
    <d v="2025-10-24T00:00:00"/>
  </r>
  <r>
    <x v="31"/>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92"/>
    <s v="LP-01 HONORARIOS DE SERVICIOS PROFESIONALES PARA EL APOYO A LA GESTIÓN"/>
    <s v="1. Plan de Contratación"/>
    <s v="GASTOS DE PERSONAL "/>
    <s v="A-1-0-2-12-01"/>
    <s v="HONORARIOS ADMINISTRATIVOS"/>
    <s v="HONORARIOS ADMINISTRATIVOS"/>
    <x v="6"/>
    <n v="320"/>
    <x v="6"/>
    <n v="248000000"/>
    <n v="80111600"/>
    <x v="31"/>
    <x v="2"/>
    <s v="ABRIL"/>
    <n v="6"/>
    <s v="MESES"/>
    <x v="0"/>
    <s v="SAE"/>
    <n v="34764000"/>
    <n v="34764000"/>
    <s v="NO"/>
    <s v="NO"/>
    <s v="DIRECCIÓN DE CONTRATACIÓN"/>
    <s v="CO-DC-11001"/>
    <s v="DIEGO ROMERO RIVERA"/>
    <n v="6017431444"/>
    <s v="diromero@saesas.gov.co"/>
    <s v="NO"/>
    <s v="NO"/>
    <s v="NO"/>
    <s v="SI"/>
    <s v="SI"/>
    <x v="0"/>
    <x v="0"/>
    <x v="16"/>
    <n v="34764000"/>
    <n v="0"/>
    <s v="028-2025"/>
    <d v="2025-10-27T00:00:00"/>
  </r>
  <r>
    <x v="32"/>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92"/>
    <s v="LP-01 HONORARIOS DE SERVICIOS PROFESIONALES PARA EL APOYO A LA GESTIÓN"/>
    <s v="1. Plan de Contratación"/>
    <s v="GASTOS DE PERSONAL "/>
    <s v="A-1-0-2-12-01"/>
    <s v="HONORARIOS ADMINISTRATIVOS"/>
    <s v="HONORARIOS ADMINISTRATIVOS"/>
    <x v="6"/>
    <n v="320"/>
    <x v="6"/>
    <n v="248000000"/>
    <n v="80111600"/>
    <x v="32"/>
    <x v="1"/>
    <s v="FEBRERO"/>
    <n v="180"/>
    <s v="DIAS "/>
    <x v="0"/>
    <s v="SAE"/>
    <n v="54600000"/>
    <n v="54600000"/>
    <s v="NO"/>
    <s v="NO"/>
    <s v="DIRECCIÓN DE CONTRATACIÓN"/>
    <s v="CO-DC-11001"/>
    <s v="DIEGO ROMERO RIVERA"/>
    <n v="6017431444"/>
    <s v="diromero@saesas.gov.co"/>
    <s v="NO"/>
    <s v="NO"/>
    <s v="NO"/>
    <s v="SI"/>
    <s v="SI"/>
    <x v="0"/>
    <x v="0"/>
    <x v="17"/>
    <n v="54600000"/>
    <n v="0"/>
    <s v="017-2025"/>
    <d v="2025-09-24T00:00:00"/>
  </r>
  <r>
    <x v="33"/>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62"/>
    <s v="LP-01 ESTUDIO DE SEGURIDAD A LOS ASPIRANTES A CONFORMAR EL BANCO DE HOJAS DE VIDA"/>
    <s v="1. Plan de Contratación"/>
    <s v="GASTOS DE PERSONAL "/>
    <s v="A-1-0-2-12-01"/>
    <s v="HONORARIOS ADMINISTRATIVOS"/>
    <s v="HONORARIOS ADMINISTRATIVOS"/>
    <x v="7"/>
    <n v="210"/>
    <x v="7"/>
    <n v="70000000"/>
    <n v="80111701"/>
    <x v="33"/>
    <x v="1"/>
    <s v="FEBRERO"/>
    <n v="12"/>
    <s v="MESES"/>
    <x v="1"/>
    <s v="SAE"/>
    <n v="70000000"/>
    <n v="70000000"/>
    <s v="NO"/>
    <s v="NO"/>
    <s v="DIRECCIÓN DE TALENTO HUMANO"/>
    <s v="CO-DC-11001"/>
    <s v="IVETH SUSANA AYALA RODRIGUEZ"/>
    <n v="6017431444"/>
    <s v="iayala@saesas.gov.co"/>
    <s v="NO"/>
    <s v="NO"/>
    <s v="NO"/>
    <s v="SI"/>
    <s v="SI"/>
    <x v="0"/>
    <x v="0"/>
    <x v="18"/>
    <n v="70000000"/>
    <n v="0"/>
    <s v="SI"/>
    <d v="2026-02-08T00:00:00"/>
  </r>
  <r>
    <x v="34"/>
    <s v="Dimensión Aprendizaje y Desarrollo__x000a__x000a_Fortalecimiento de la gestión del conocimiento"/>
    <s v="Desarrollar y potenciar las habilidades, competencias y conocimiento del talento humano de la SAE a través de procesos de gestión de conocimiento y gestión del cambio."/>
    <s v="2025LG263"/>
    <s v="LP-01 APLICACIÓN DE PRUEBAS PSICOTÉCNICAS  Y DE COMPETENCIAS"/>
    <s v="1. Plan de Contratación"/>
    <s v="GASTOS DE PERSONAL "/>
    <s v="A-1-0-2-12-01"/>
    <s v="HONORARIOS ADMINISTRATIVOS"/>
    <s v="HONORARIOS ADMINISTRATIVOS"/>
    <x v="7"/>
    <n v="210"/>
    <x v="7"/>
    <n v="20000000"/>
    <n v="80111701"/>
    <x v="34"/>
    <x v="1"/>
    <s v="FEBRERO"/>
    <n v="12"/>
    <s v="MESES"/>
    <x v="1"/>
    <s v="SAE"/>
    <n v="20000000"/>
    <n v="20000000"/>
    <s v="NO"/>
    <s v="NO"/>
    <s v="DIRECCIÓN DE TALENTO HUMANO"/>
    <s v="CO-DC-11001"/>
    <s v="IVETH SUSANA AYALA RODRIGUEZ"/>
    <n v="6017431444"/>
    <s v="iayala@saesas.gov.co"/>
    <s v="NO"/>
    <s v="NO"/>
    <s v="NO"/>
    <s v="SI"/>
    <s v="SI"/>
    <x v="0"/>
    <x v="1"/>
    <x v="7"/>
    <m/>
    <n v="20000000"/>
    <s v="NO"/>
    <m/>
  </r>
  <r>
    <x v="35"/>
    <s v="Dimensión Aprendizaje y Desarrollo__x000a__x000a_Fortalecimiento de la gestión del conocimiento"/>
    <s v="Fomentar un bienestar laboral armónico de acuerdo con los valores institucionales y las necesidades de los trabajadores de la SAE."/>
    <s v="2025LG264"/>
    <s v="LP-01 PRESTAR SERVICIOS PROFESIONALES COMO INTERPRETE DE LENGUA DE SEÑAS COLOMBIANAS – ESPAÑOL,"/>
    <s v="1. Plan de Contratación"/>
    <s v="GASTOS DE PERSONAL "/>
    <s v="A-1-0-2-12-01"/>
    <s v="HONORARIOS ADMINISTRATIVOS"/>
    <s v="HONORARIOS ADMINISTRATIVOS"/>
    <x v="7"/>
    <n v="210"/>
    <x v="7"/>
    <n v="13456000"/>
    <s v="82112000;80111600"/>
    <x v="35"/>
    <x v="3"/>
    <s v="MARZO"/>
    <n v="12"/>
    <s v="MESES"/>
    <x v="1"/>
    <s v="SAE"/>
    <n v="13456000"/>
    <n v="13456000"/>
    <s v="NO"/>
    <s v="NO"/>
    <s v="DIRECCIÓN DE TALENTO HUMANO"/>
    <s v="CO-DC-11001"/>
    <s v="IVETH SUSANA AYALA RODRIGUEZ"/>
    <n v="6017431444"/>
    <s v="iayala@saesas.gov.co"/>
    <s v="NO"/>
    <s v="NO"/>
    <s v="NO"/>
    <s v="SI"/>
    <s v="SI"/>
    <x v="1"/>
    <x v="1"/>
    <x v="7"/>
    <m/>
    <n v="13456000"/>
    <s v="138-2023"/>
    <d v="2025-06-02T00:00:00"/>
  </r>
  <r>
    <x v="36"/>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65"/>
    <s v="LP-01 SERVICIO DE AUDITORIA Y CERTIFICACION BAJO ENTE ACREDITADO EN LA NORMA ISO:45001 DE SISTEMAS DE GESTION DE SEGURIDAD Y SALUD EN EL TRABAJO"/>
    <s v="1. Plan de Contratación"/>
    <s v="GASTOS DE PERSONAL "/>
    <s v="A-1-0-2-12-01"/>
    <s v="HONORARIOS ADMINISTRATIVOS"/>
    <s v="HONORARIOS ADMINISTRATIVOS"/>
    <x v="7"/>
    <n v="210"/>
    <x v="7"/>
    <n v="30000000"/>
    <n v="84111600"/>
    <x v="36"/>
    <x v="3"/>
    <s v="ABRIL"/>
    <n v="8"/>
    <s v="MESES"/>
    <x v="1"/>
    <s v="SAE"/>
    <n v="30000000"/>
    <n v="30000000"/>
    <s v="NO"/>
    <s v="NO"/>
    <s v="DIRECCIÓN DE TALENTO HUMANO"/>
    <s v="CO-DC-11001"/>
    <s v="IVETH SUSANA AYALA RODRIGUEZ"/>
    <n v="6017431444"/>
    <s v="iayala@saesas.gov.co"/>
    <s v="NO"/>
    <s v="NO"/>
    <s v="NO"/>
    <s v="SI"/>
    <s v="SI"/>
    <x v="1"/>
    <x v="1"/>
    <x v="7"/>
    <m/>
    <n v="30000000"/>
    <s v="NO"/>
    <m/>
  </r>
  <r>
    <x v="37"/>
    <s v="Dimensión Aprendizaje y Desarrollo__x000a__x000a_Fortalecimiento de la gestión del conocimiento"/>
    <s v="Fomentar un bienestar laboral armónico de acuerdo con los valores institucionales y las necesidades de los trabajadores de la SAE."/>
    <s v="2025LG269"/>
    <s v="LP-16 SEGURIDAD INDUSTRIAL: ELEMENTOS DE PROTECCIÓN PERSONAL, SEÑALIZACIÓN PREVENTIVA, BRIGADAS DE EMERGENCIA, ELEMENTOS BOTIQUÍN, ENTRE OTROS._x000a_"/>
    <s v="1. Plan de Contratación"/>
    <s v="GASTOS GENERALES "/>
    <s v="A-2-0-4-04-03_x000a_"/>
    <s v="ELEMENTOS DE SEGURIDAD INDUSTRIAL_x000a_"/>
    <s v="ELEMENTOS DE SEGURIDAD INDUSTRIAL"/>
    <x v="7"/>
    <n v="210"/>
    <x v="7"/>
    <n v="86564320"/>
    <s v="46180000;56101700;46182200"/>
    <x v="37"/>
    <x v="2"/>
    <s v="MAYO"/>
    <n v="10"/>
    <s v="MESES"/>
    <x v="1"/>
    <s v="SAE"/>
    <n v="56564320"/>
    <n v="56564320"/>
    <s v="NO"/>
    <s v="NO"/>
    <s v="DIRECCIÓN DE TALENTO HUMANO"/>
    <s v="CO-DC-11001"/>
    <s v="IVETH SUSANA AYALA RODRIGUEZ"/>
    <n v="6017431444"/>
    <s v="iayala@saesas.gov.co"/>
    <s v="NO"/>
    <s v="NO"/>
    <s v="NO"/>
    <s v="SI"/>
    <s v="SI"/>
    <x v="1"/>
    <x v="1"/>
    <x v="7"/>
    <m/>
    <n v="56564320"/>
    <s v="082-2024"/>
    <d v="2025-07-04T00:00:00"/>
  </r>
  <r>
    <x v="38"/>
    <s v="Dimensión Aprendizaje y Desarrollo__x000a__x000a_Fortalecimiento de la gestión del conocimiento"/>
    <s v="Fomentar un bienestar laboral armónico de acuerdo con los valores institucionales y las necesidades de los trabajadores de la SAE."/>
    <s v="2025LG269"/>
    <s v="LP-16 SEGURIDAD INDUSTRIAL: ELEMENTOS DE PROTECCIÓN PERSONAL, SEÑALIZACIÓN PREVENTIVA, BRIGADAS DE EMERGENCIA, ELEMENTOS BOTIQUÍN, ENTRE OTROS."/>
    <s v="1. Plan de Contratación"/>
    <s v="GASTOS GENERALES "/>
    <s v="A-2-0-4-04-03"/>
    <s v="ELEMENTOS DE SEGURIDAD INDUSTRIAL"/>
    <s v="ELEMENTOS DE SEGURIDAD INDUSTRIAL"/>
    <x v="7"/>
    <n v="210"/>
    <x v="7"/>
    <n v="86564320"/>
    <s v="42171600;55120000;46190000"/>
    <x v="38"/>
    <x v="1"/>
    <s v="MARZO"/>
    <n v="10"/>
    <s v="MESES"/>
    <x v="1"/>
    <s v="SAE"/>
    <n v="20000000"/>
    <n v="20000000"/>
    <s v="NO"/>
    <s v="NO SOLICITADAS"/>
    <s v="DIRECCIÓN DE TALENTO HUMANO"/>
    <s v="CO-DC-11001"/>
    <s v="IVETH SUSANA AYALA RODRIGUEZ"/>
    <n v="6017431444"/>
    <s v="iayala@saesas.gov.co"/>
    <s v="NO"/>
    <s v="NO"/>
    <s v="NO"/>
    <s v="SI"/>
    <s v="SI"/>
    <x v="1"/>
    <x v="1"/>
    <x v="7"/>
    <m/>
    <n v="20000000"/>
    <s v="NO"/>
    <m/>
  </r>
  <r>
    <x v="39"/>
    <s v="Dimensión Aprendizaje y Desarrollo__x000a__x000a_Fortalecimiento de la gestión del conocimiento"/>
    <s v="Fomentar un bienestar laboral armónico de acuerdo con los valores institucionales y las necesidades de los trabajadores de la SAE."/>
    <s v="2025LG271"/>
    <s v="LP-16 DOTACIÓN REGLAMENTARIA Y UNIFORMIDAD"/>
    <s v="1. Plan de Contratación"/>
    <s v="GASTOS GENERALES "/>
    <s v="A-2-0-4-04-02"/>
    <s v="DOTACION"/>
    <s v="DOTACION"/>
    <x v="7"/>
    <n v="210"/>
    <x v="7"/>
    <n v="108327560"/>
    <s v="80141628;80141629"/>
    <x v="39"/>
    <x v="1"/>
    <s v="MARZO"/>
    <n v="9"/>
    <s v="MESES"/>
    <x v="3"/>
    <s v="SAE"/>
    <n v="108327560"/>
    <n v="108327560"/>
    <s v="NO"/>
    <s v="NO"/>
    <s v="DIRECCIÓN DE TALENTO HUMANO"/>
    <s v="CO-DC-11001"/>
    <s v="IVETH SUSANA AYALA RODRIGUEZ"/>
    <n v="6017431444"/>
    <s v="iayala@saesas.gov.co"/>
    <s v="NO"/>
    <s v="NO"/>
    <s v="NO"/>
    <s v="SI"/>
    <s v="SI"/>
    <x v="0"/>
    <x v="1"/>
    <x v="7"/>
    <m/>
    <n v="108327560"/>
    <s v="NO"/>
    <m/>
  </r>
  <r>
    <x v="40"/>
    <s v="Dimensión Aprendizaje y Desarrollo__x000a__x000a_Fortalecimiento de la gestión del conocimiento"/>
    <s v="Fomentar un bienestar laboral armónico de acuerdo con los valores institucionales y las necesidades de los trabajadores de la SAE."/>
    <s v="2025LG272_x000a_2025LG273"/>
    <s v="LP-19 SEGUROS DE VIDA_x000a_LP-19 PÓLIZA DE SEGURO EXEQUIAL"/>
    <s v="1. Plan de Contratación"/>
    <s v="GASTOS GENERALES "/>
    <s v="A-2-0-4-09-06_x000a_A-2-0-4-09-12"/>
    <s v="SEGURO DE VIDA_x000a_SEGUROS EXEQUIALES"/>
    <s v="SEGURO DE VIDA_x000a_SEGUROS EXEQUIALES"/>
    <x v="7"/>
    <n v="210"/>
    <x v="7"/>
    <n v="800000000"/>
    <s v="84131601;84131601;84131600"/>
    <x v="40"/>
    <x v="4"/>
    <s v="AGOSTO"/>
    <n v="12"/>
    <s v="MESES"/>
    <x v="4"/>
    <s v="SAE"/>
    <n v="800000000"/>
    <n v="800000000"/>
    <s v="NO"/>
    <s v="NO"/>
    <s v="DIRECCIÓN DE TALENTO HUMANO"/>
    <s v="CO-DC-11001"/>
    <s v="IVETH SUSANA AYALA RODRIGUEZ"/>
    <n v="6017431444"/>
    <s v="iayala@saesas.gov.co"/>
    <s v="NO"/>
    <s v="NO"/>
    <s v="NO"/>
    <s v="SI"/>
    <s v="SI"/>
    <x v="1"/>
    <x v="1"/>
    <x v="7"/>
    <m/>
    <n v="800000000"/>
    <s v="061-2024"/>
    <d v="2025-09-05T00:00:00"/>
  </r>
  <r>
    <x v="41"/>
    <s v="Dimensión Procesos__x000a__x000a_Inventario de activos y portafolios administrados por la SAE actualizados"/>
    <s v="Diseñar, desarrollar e implementar la estrategia de transición digital que propenda por la transparencia y adecuada administración de los activos."/>
    <s v="2025LG277"/>
    <s v="LP-07 ARRENDAMIENTO SOFTWARE NOMINA ELECTRONICA"/>
    <s v="1. Plan de Contratación"/>
    <s v="GASTOS GENERALES "/>
    <s v="A-2-0-4-10-03"/>
    <s v="ARRENDAMIENTO SOFTWARE"/>
    <s v="ARRENDAMIENTO SOFTWARE"/>
    <x v="7"/>
    <n v="210"/>
    <x v="7"/>
    <n v="5000000"/>
    <n v="84111506"/>
    <x v="41"/>
    <x v="5"/>
    <s v="SEPTIEMBRE"/>
    <n v="9"/>
    <s v="MESES"/>
    <x v="1"/>
    <s v="SAE"/>
    <n v="5000000"/>
    <n v="5000000"/>
    <s v="NO"/>
    <s v="NO"/>
    <s v="DIRECCIÓN DE TALENTO HUMANO"/>
    <s v="CO-DC-11001"/>
    <s v="IVETH SUSANA AYALA RODRIGUEZ"/>
    <n v="6017431444"/>
    <s v="iayala@saesas.gov.co"/>
    <s v="NO"/>
    <s v="NO"/>
    <s v="NO"/>
    <s v="SI"/>
    <s v="SI"/>
    <x v="1"/>
    <x v="1"/>
    <x v="7"/>
    <m/>
    <n v="5000000"/>
    <s v="084-2021"/>
    <d v="2025-12-19T00:00:00"/>
  </r>
  <r>
    <x v="42"/>
    <s v="Dimensión Aprendizaje y Desarrollo__x000a__x000a_Fortalecimiento de la gestión del conocimiento"/>
    <s v="Fomentar un bienestar laboral armónico de acuerdo con los valores institucionales y las necesidades de los trabajadores de la SAE."/>
    <s v="2025LG279"/>
    <s v="LP-10 ESQUEMA DE SEGURIDAD PRESIDENCIA SAE"/>
    <s v="1. Plan de Contratación"/>
    <s v="GASTOS GENERALES "/>
    <s v="A-2-0-4-05-10"/>
    <s v="SERVICIO DE SEGURIDAD Y VIGILANCIA"/>
    <s v="SERVICIO DE SEGURIDAD Y VIGILANCIA"/>
    <x v="7"/>
    <n v="210"/>
    <x v="7"/>
    <n v="307010732"/>
    <n v="92121700"/>
    <x v="42"/>
    <x v="1"/>
    <s v="MARZO"/>
    <n v="8"/>
    <s v="MESES"/>
    <x v="0"/>
    <s v="SAE"/>
    <n v="534358230"/>
    <n v="352909336"/>
    <s v="NO"/>
    <s v="NO"/>
    <s v="DIRECCIÓN DE TALENTO HUMANO"/>
    <s v="CO-DC-11001"/>
    <s v="IVETH SUSANA AYALA RODRIGUEZ"/>
    <n v="6017431444"/>
    <s v="iayala@saesas.gov.co"/>
    <s v="NO"/>
    <s v="NO"/>
    <s v="NO"/>
    <s v="SI"/>
    <s v="SI"/>
    <x v="0"/>
    <x v="0"/>
    <x v="19"/>
    <n v="534358230"/>
    <n v="0"/>
    <s v="SI"/>
    <s v="034-2025"/>
  </r>
  <r>
    <x v="43"/>
    <s v="Dimensión Aprendizaje y Desarrollo__x000a__x000a_Fortalecimiento de la gestión del conocimiento"/>
    <s v="Fomentar un bienestar laboral armónico de acuerdo con los valores institucionales y las necesidades de los trabajadores de la SAE."/>
    <s v="2025LG295"/>
    <s v="LP"/>
    <s v="1. Plan de Contratación"/>
    <s v="GASTOS DE PERSONAL "/>
    <s v="A-1-0-2-12-01"/>
    <s v="HONORARIOS ADMINISTRATIVOS"/>
    <s v="HONORARIOS SERVICIOS PROFESIONALES PARA APOYO A LA GESTION DE LA DIRECCION DE TALENTO HUMANO"/>
    <x v="7"/>
    <n v="210"/>
    <x v="7"/>
    <n v="160000000"/>
    <n v="80111600"/>
    <x v="43"/>
    <x v="1"/>
    <s v="FEBRERO"/>
    <n v="6"/>
    <s v="MESES"/>
    <x v="0"/>
    <s v="SAE"/>
    <n v="50000000"/>
    <n v="50000000"/>
    <s v="NO"/>
    <s v="NO"/>
    <s v="DIRECCIÓN DE TALENTO HUMANO"/>
    <s v="CO-DC-11001"/>
    <s v="IVETH SUSANA AYALA RODRIGUEZ"/>
    <n v="6017431444"/>
    <s v="iayala@saesas.gov.co"/>
    <s v="NO"/>
    <s v="NO"/>
    <s v="NO"/>
    <s v="SI"/>
    <s v="SI"/>
    <x v="0"/>
    <x v="0"/>
    <x v="20"/>
    <n v="45000000"/>
    <n v="5000000"/>
    <s v="023-2025"/>
    <d v="2025-10-29T00:00:00"/>
  </r>
  <r>
    <x v="44"/>
    <s v="Dimensión Aprendizaje y Desarrollo__x000a__x000a_Fortalecimiento de la gestión del conocimiento"/>
    <s v="Fomentar un bienestar laboral armónico de acuerdo con los valores institucionales y las necesidades de los trabajadores de la SAE."/>
    <s v="2025LG295"/>
    <s v="LP"/>
    <s v="1. Plan de Contratación"/>
    <s v="GASTOS DE PERSONAL "/>
    <s v="A-1-0-2-12-01"/>
    <s v="HONORARIOS ADMINISTRATIVOS"/>
    <s v="HONORARIOS SERVICIOS PROFESIONALES PARA APOYO A LA GESTION DE LA DIRECCION DE TALENTO HUMANO"/>
    <x v="7"/>
    <n v="210"/>
    <x v="7"/>
    <n v="160000000"/>
    <n v="80111600"/>
    <x v="44"/>
    <x v="1"/>
    <s v="FEBRERO"/>
    <n v="6"/>
    <s v="MESES"/>
    <x v="0"/>
    <s v="SAE"/>
    <n v="50000000"/>
    <n v="50000000"/>
    <s v="NO"/>
    <s v="NO"/>
    <s v="DIRECCIÓN DE TALENTO HUMANO"/>
    <s v="CO-DC-11001"/>
    <s v="IVETH SUSANA AYALA RODRIGUEZ"/>
    <n v="6017431444"/>
    <s v="iayala@saesas.gov.co"/>
    <s v="NO"/>
    <s v="NO"/>
    <s v="NO"/>
    <s v="SI"/>
    <s v="SI"/>
    <x v="1"/>
    <x v="1"/>
    <x v="7"/>
    <m/>
    <n v="50000000"/>
    <s v="NO"/>
    <m/>
  </r>
  <r>
    <x v="45"/>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95"/>
    <s v="LP- HONORARIOS SERVICIOS PROFESIONALES PARA APOYO A LA GESTION DE LA  DIRECCION DE TALENTO HUMANO"/>
    <s v="1. Plan de Contratación"/>
    <s v="GASTOS DE PERSONAL "/>
    <s v="A-1-0-2-12-01"/>
    <s v="HONORARIOS ADMINISTRATIVOS"/>
    <s v="HONORARIOS SERVICIOS PROFESIONALES PARA APOYO A LA GESTION DE LA DIRECCION DE TALENTO HUMANO"/>
    <x v="7"/>
    <n v="210"/>
    <x v="7"/>
    <n v="160000000"/>
    <n v="80111600"/>
    <x v="45"/>
    <x v="1"/>
    <s v="FEBRERO"/>
    <n v="6"/>
    <s v="MESES"/>
    <x v="0"/>
    <s v="SAE"/>
    <n v="54600000"/>
    <n v="54600000"/>
    <s v="NO"/>
    <s v="NO"/>
    <s v="DIRECCIÓN DE TALENTO HUMANO"/>
    <s v="CO-DC-11001"/>
    <s v="IVETH SUSANA AYALA RODRIGUEZ"/>
    <n v="6017431444"/>
    <s v="iayala@saesas.gov.co"/>
    <s v="NO"/>
    <s v="NO"/>
    <s v="NO"/>
    <s v="SI"/>
    <s v="SI"/>
    <x v="0"/>
    <x v="0"/>
    <x v="21"/>
    <n v="54600000"/>
    <n v="0"/>
    <s v="006-2025"/>
    <d v="2025-08-18T00:00:00"/>
  </r>
  <r>
    <x v="46"/>
    <s v="Dimensión Procesos__x000a__x000a_Inventario de activos y portafolios administrados por la SAE actualizados"/>
    <s v="Diseñar, desarrollar e implementar la estrategia de transición digital que propenda por la transparencia y adecuada administración de los activos."/>
    <s v="2025LG276"/>
    <s v="LP-13 SERVICIOS DE CAPACITACION"/>
    <s v="1. Plan de Contratación"/>
    <s v="GASTOS GENERALES "/>
    <s v="A-2-0-4-21-05"/>
    <s v="SERVICIOS DE CAPACITACION"/>
    <s v="SERVICIOS DE CAPACITACION"/>
    <x v="7"/>
    <n v="210"/>
    <x v="7"/>
    <n v="17023552"/>
    <s v="80111504_x000a_80101702_x000a_86101710"/>
    <x v="46"/>
    <x v="1"/>
    <s v="FEBRERO"/>
    <n v="3"/>
    <s v="MESES"/>
    <x v="5"/>
    <s v="SAE"/>
    <n v="14395000"/>
    <n v="14395000"/>
    <s v="NO"/>
    <s v="NO"/>
    <s v="DIRECCIÓN DE TALENTO HUMANO"/>
    <s v="CO-DC-11001"/>
    <s v="IVETH SUSANA AYALA RODRIGUEZ"/>
    <n v="6017431444"/>
    <s v="iayala@saesas.gov.co"/>
    <s v="NO"/>
    <s v="NO"/>
    <s v="NO"/>
    <s v="SI"/>
    <s v="SI"/>
    <x v="1"/>
    <x v="1"/>
    <x v="7"/>
    <m/>
    <n v="14395000"/>
    <s v="131-2024"/>
    <d v="2027-10-23T00:00:00"/>
  </r>
  <r>
    <x v="47"/>
    <s v="Dimensión Financiera_ _x000a_Control financiero y administrativo de los recursos económicos de la sociedad y de los activos que administra."/>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07"/>
    <s v="LP-01 HONORARIOS SERVICIOS PROFESIONALES PARA APOYO A LA GESTIÓN"/>
    <s v="1. Plan de Contratación"/>
    <s v="GASTOS DE PERSONAL "/>
    <s v="A-1-0-2-12-01"/>
    <s v="HONORARIOS ADMINISTRATIVOS EXTINTO"/>
    <s v="HONORARIOS ADMINISTRATIVOS EXTINTO"/>
    <x v="8"/>
    <n v="220"/>
    <x v="8"/>
    <n v="177000000"/>
    <n v="80111600"/>
    <x v="47"/>
    <x v="1"/>
    <s v="FEBRERO"/>
    <n v="1"/>
    <s v="AÑOS"/>
    <x v="0"/>
    <s v="FRISCO"/>
    <n v="106000000"/>
    <n v="106000000"/>
    <s v="SI"/>
    <s v="PENDIENTES DE SOLICITAR"/>
    <s v="DIRECCION FINANCIERA "/>
    <s v="CO-DC-11001"/>
    <s v="_x000a_JOHN ALBEYRO PEÑA CARREÑO"/>
    <s v="7431444 ext 213"/>
    <s v="jopena@saesas.gov.co"/>
    <s v="NO"/>
    <s v="NO"/>
    <s v="NO"/>
    <s v="SI"/>
    <s v="SI"/>
    <x v="1"/>
    <x v="1"/>
    <x v="7"/>
    <m/>
    <n v="106000000"/>
    <s v="NO"/>
    <m/>
  </r>
  <r>
    <x v="48"/>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89"/>
    <s v="LP-01 REVISORÍA FISCAL Y ASESORÍAS TIBUTARIAS"/>
    <s v="1. Plan de Contratación"/>
    <s v="GASTOS DE PERSONAL "/>
    <s v="A-1-0-2-12-01"/>
    <s v="HONORARIOS ADMINISTRATIVOS"/>
    <s v="HONORARIOS ADMINISTRATIVOS"/>
    <x v="8"/>
    <n v="220"/>
    <x v="8"/>
    <n v="10425000"/>
    <n v="80111600"/>
    <x v="48"/>
    <x v="4"/>
    <s v="AGOSTO"/>
    <n v="1"/>
    <s v="AÑOS"/>
    <x v="0"/>
    <s v="SAE"/>
    <n v="237857192"/>
    <n v="59464300"/>
    <s v="SI"/>
    <s v="PENDIENTES DE SOLICITAR"/>
    <s v="DIRECCION FINANCIERA "/>
    <s v="CO-DC-11001"/>
    <s v="_x000a_JOHN ALBEYRO PEÑA CARREÑO"/>
    <s v="7431444 ext 213"/>
    <s v="jopena@saesas.gov.co"/>
    <s v="NO"/>
    <s v="NO"/>
    <s v="NO"/>
    <s v="SI"/>
    <s v="SI"/>
    <x v="1"/>
    <x v="1"/>
    <x v="7"/>
    <m/>
    <n v="237857192"/>
    <s v="122-2024"/>
    <d v="2025-10-27T00:00:00"/>
  </r>
  <r>
    <x v="49"/>
    <s v="Dimensión Financiera_ _x000a_Control financiero y administrativo de los recursos económicos de la sociedad y de los activos que administra."/>
    <s v="Garantizar la recuperación de cartera por procesos de cobro persuasivo y judicialización."/>
    <s v="2025LG099_x000a_2025LG100"/>
    <s v="LP-02 COMISIONES CARTERA Y OTROS EXTINTO_x000a_LP-02 COMISIONES CARTERA Y OTROS EN PROCESO_x000a_"/>
    <s v="1. Plan de Contratación"/>
    <s v="GASTOS GENERALES_x000a__x000a_GASTOS DE OPERACIÓN "/>
    <s v="A-2-0-4-42-01_x000a_A-8-3-9-05-02"/>
    <s v="COMISIONES CARTERA"/>
    <s v="COMISIONES CARTERA"/>
    <x v="8"/>
    <n v="220"/>
    <x v="8"/>
    <n v="2000000000"/>
    <n v="80121610"/>
    <x v="49"/>
    <x v="1"/>
    <s v="FEBRERO"/>
    <n v="19"/>
    <s v="MESES"/>
    <x v="4"/>
    <s v="FRISCO"/>
    <n v="2375000000"/>
    <n v="1500000000"/>
    <s v="SI"/>
    <s v="PENDIENTES DE SOLICITAR"/>
    <s v="DIRECCION FINANCIERA "/>
    <s v="CO-DC-11001"/>
    <s v="_x000a_JOHN ALBEYRO PEÑA CARREÑO"/>
    <s v="7431444 ext 213"/>
    <s v="jopena@saesas.gov.co"/>
    <s v="NO"/>
    <s v="NO"/>
    <s v="NO"/>
    <s v="SI"/>
    <s v="SI"/>
    <x v="0"/>
    <x v="1"/>
    <x v="7"/>
    <m/>
    <n v="2375000000"/>
    <s v="NO"/>
    <m/>
  </r>
  <r>
    <x v="50"/>
    <s v="Dimensión Financiera_ _x000a_Control financiero y administrativo de los recursos económicos de la sociedad y de los activos que administra."/>
    <s v="Generar rentabilidad económica a partir de la diversificación de ingresos, para la inversión social y la lucha contra el crimen organizado. "/>
    <s v="2025LG290"/>
    <s v="LP-23 CUSTODIA PORTAFOLIO"/>
    <s v="1. Plan de Contratación"/>
    <s v="GASTOS GENERALES "/>
    <s v="A-2-0-4-22-03"/>
    <s v="ADMINISTRACIÓN DE PORTAFOLIO"/>
    <s v="ADMINISTRACIÓN DE PORTAFOLIO"/>
    <x v="8"/>
    <n v="220"/>
    <x v="8"/>
    <n v="120250000"/>
    <s v="53121704;84121806"/>
    <x v="50"/>
    <x v="1"/>
    <s v="FEBRERO"/>
    <n v="12"/>
    <s v="MESES"/>
    <x v="1"/>
    <s v="SAE"/>
    <n v="600000000"/>
    <n v="500000000"/>
    <s v="SI"/>
    <s v="PENDIENTES DE SOLICITAR"/>
    <s v="DIRECCION FINANCIERA "/>
    <s v="CO-DC-11001"/>
    <s v="_x000a_JOHN ALBEYRO PEÑA CARREÑO"/>
    <s v="7431444 ext 213"/>
    <s v="jopena@saesas.gov.co"/>
    <s v="NO"/>
    <s v="NO"/>
    <s v="NO"/>
    <s v="SI"/>
    <s v="SI"/>
    <x v="1"/>
    <x v="1"/>
    <x v="7"/>
    <m/>
    <n v="600000000"/>
    <s v="040-2021"/>
    <d v="2026-02-27T00:00:00"/>
  </r>
  <r>
    <x v="51"/>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11"/>
    <s v="LP-01 HONORARIOS SERVICIOS DE APOYO"/>
    <s v="1. Plan de Contratación"/>
    <s v="GASTOS OPERACIONALES"/>
    <s v="A-8-3-9-10-01"/>
    <s v="HONORARIOS VARIOS INCAUTADO"/>
    <s v="HONORARIOS VARIOS INCAUTADO"/>
    <x v="9"/>
    <n v="105"/>
    <x v="9"/>
    <n v="72851666"/>
    <n v="80111600"/>
    <x v="51"/>
    <x v="3"/>
    <s v="MARZO"/>
    <n v="3"/>
    <s v="MESES"/>
    <x v="0"/>
    <s v="FRISCO"/>
    <n v="21345000"/>
    <n v="21345000"/>
    <s v="NO"/>
    <s v="NO"/>
    <s v="OFICINA DE INTEGRIDAD, ANTICORRUPCIÓN Y CUMPLIMIENTO"/>
    <s v="CO-DC-11001"/>
    <s v="DANIEL SEBASTIAN CONTRERAS ORTIZ"/>
    <n v="6017431444"/>
    <s v="dcontreras@saesas.gov.co"/>
    <s v="NO"/>
    <s v="NO"/>
    <s v="NO"/>
    <s v="SI"/>
    <s v="SI"/>
    <x v="1"/>
    <x v="1"/>
    <x v="7"/>
    <m/>
    <n v="21345000"/>
    <s v="NO"/>
    <m/>
  </r>
  <r>
    <x v="52"/>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11"/>
    <s v="LP-01 HONORARIOS SERVICIOS DE APOYO"/>
    <s v="1. Plan de Contratación"/>
    <s v="GASTOS OPERACIONALES"/>
    <s v="A-8-3-9-10-01"/>
    <s v="HONORARIOS VARIOS INCAUTADO"/>
    <s v="HONORARIOS VARIOS INCAUTADO"/>
    <x v="9"/>
    <n v="105"/>
    <x v="9"/>
    <n v="72851666"/>
    <n v="80111600"/>
    <x v="52"/>
    <x v="3"/>
    <s v="MARZO"/>
    <n v="9"/>
    <s v="MESES"/>
    <x v="0"/>
    <s v="FRISCO"/>
    <n v="62776350"/>
    <n v="62776350"/>
    <s v="NO"/>
    <s v="NO"/>
    <s v="OFICINA DE INTEGRIDAD, ANTICORRUPCIÓN Y CUMPLIMIENTO"/>
    <s v="CO-DC-11001"/>
    <s v="DANIEL SEBASTIAN CONTRERAS ORTIZ"/>
    <n v="6017431444"/>
    <s v="dcontreras@saesas.gov.co"/>
    <s v="NO"/>
    <s v="NO"/>
    <s v="NO"/>
    <s v="SI"/>
    <s v="SI"/>
    <x v="1"/>
    <x v="1"/>
    <x v="7"/>
    <m/>
    <n v="62776350"/>
    <s v="NO"/>
    <m/>
  </r>
  <r>
    <x v="53"/>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11"/>
    <s v="LP-01 HONORARIOS SERVICIOS DE APOYO"/>
    <s v="1. Plan de Contratación"/>
    <s v="GASTOS OPERACIONALES"/>
    <s v="A-8-3-9-10-01"/>
    <s v="HONORARIOS VARIOS INCAUTADO"/>
    <s v="HONORARIOS VARIOS INCAUTADO"/>
    <x v="9"/>
    <n v="105"/>
    <x v="9"/>
    <n v="72851666"/>
    <n v="80111600"/>
    <x v="53"/>
    <x v="3"/>
    <s v="MARZO"/>
    <n v="9"/>
    <s v="MESES"/>
    <x v="0"/>
    <s v="FRISCO"/>
    <n v="38421000"/>
    <n v="38421000"/>
    <s v="NO"/>
    <s v="NO"/>
    <s v="OFICINA DE INTEGRIDAD, ANTICORRUPCIÓN Y CUMPLIMIENTO"/>
    <s v="CO-DC-11001"/>
    <s v="DANIEL SEBASTIAN CONTRERAS ORTIZ"/>
    <n v="6017431444"/>
    <s v="dcontreras@saesas.gov.co"/>
    <s v="NO"/>
    <s v="NO"/>
    <s v="NO"/>
    <s v="SI"/>
    <s v="SI"/>
    <x v="0"/>
    <x v="0"/>
    <x v="22"/>
    <n v="25623000"/>
    <n v="12798000"/>
    <s v="014-2025"/>
    <d v="2025-09-07T00:00:00"/>
  </r>
  <r>
    <x v="54"/>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11"/>
    <s v="LP-01 HONORARIOS SERVICIOS DE APOYO"/>
    <s v="1. Plan de Contratación"/>
    <s v="GASTOS OPERACIONALES"/>
    <s v="A-8-3-9-10-01"/>
    <s v="HONORARIOS VARIOS INCAUTADO"/>
    <s v="HONORARIOS VARIOS INCAUTADO"/>
    <x v="9"/>
    <n v="105"/>
    <x v="9"/>
    <n v="72851666"/>
    <n v="80111600"/>
    <x v="53"/>
    <x v="3"/>
    <s v="MARZO"/>
    <n v="9"/>
    <s v="MESES"/>
    <x v="0"/>
    <s v="FRISCO"/>
    <n v="38421000"/>
    <n v="38421000"/>
    <s v="NO"/>
    <s v="NO"/>
    <s v="OFICINA DE INTEGRIDAD, ANTICORRUPCIÓN Y CUMPLIMIENTO"/>
    <s v="CO-DC-11001"/>
    <s v="DANIEL SEBASTIAN CONTRERAS ORTIZ"/>
    <n v="6017431444"/>
    <s v="dcontreras@saesas.gov.co"/>
    <s v="NO"/>
    <s v="NO"/>
    <s v="NO"/>
    <s v="SI"/>
    <s v="SI"/>
    <x v="0"/>
    <x v="0"/>
    <x v="23"/>
    <n v="25623000"/>
    <n v="12798000"/>
    <s v="015-2025"/>
    <d v="2025-09-07T00:00:00"/>
  </r>
  <r>
    <x v="55"/>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11"/>
    <s v="LP-01 HONORARIOS SERVICIOS DE APOYO"/>
    <s v="1. Plan de Contratación"/>
    <s v="GASTOS OPERACIONALES"/>
    <s v="A-8-3-9-10-01"/>
    <s v="HONORARIOS VARIOS INCAUTADO"/>
    <s v="HONORARIOS VARIOS INCAUTADO"/>
    <x v="9"/>
    <n v="105"/>
    <x v="9"/>
    <n v="72851666"/>
    <n v="80111600"/>
    <x v="53"/>
    <x v="3"/>
    <s v="MARZO"/>
    <n v="9"/>
    <s v="MESES"/>
    <x v="0"/>
    <s v="FRISCO"/>
    <n v="38421000"/>
    <n v="38421000"/>
    <s v="NO"/>
    <s v="NO"/>
    <s v="OFICINA DE INTEGRIDAD, ANTICORRUPCIÓN Y CUMPLIMIENTO"/>
    <s v="CO-DC-11001"/>
    <s v="DANIEL SEBASTIAN CONTRERAS ORTIZ"/>
    <n v="6017431444"/>
    <s v="dcontreras@saesas.gov.co"/>
    <s v="NO"/>
    <s v="NO"/>
    <s v="NO"/>
    <s v="SI"/>
    <s v="SI"/>
    <x v="1"/>
    <x v="1"/>
    <x v="7"/>
    <m/>
    <n v="38421000"/>
    <s v="NO"/>
    <m/>
  </r>
  <r>
    <x v="56"/>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11"/>
    <s v="LP-01 HONORARIOS SERVICIOS DE APOYO"/>
    <s v="1. Plan de Contratación"/>
    <s v="GASTOS OPERACIONALES"/>
    <s v="A-8-3-9-10-01"/>
    <s v="HONORARIOS VARIOS INCAUTADO"/>
    <s v="HONORARIOS VARIOS INCAUTADO"/>
    <x v="9"/>
    <n v="105"/>
    <x v="9"/>
    <n v="72851666"/>
    <n v="80111600"/>
    <x v="53"/>
    <x v="3"/>
    <s v="MARZO"/>
    <n v="9"/>
    <s v="MESES"/>
    <x v="0"/>
    <s v="FRISCO"/>
    <n v="38421000"/>
    <n v="38421000"/>
    <s v="NO"/>
    <s v="NO"/>
    <s v="OFICINA DE INTEGRIDAD, ANTICORRUPCIÓN Y CUMPLIMIENTO"/>
    <s v="CO-DC-11001"/>
    <s v="DANIEL SEBASTIAN CONTRERAS ORTIZ"/>
    <n v="6017431444"/>
    <s v="dcontreras@saesas.gov.co"/>
    <s v="NO"/>
    <s v="NO"/>
    <s v="NO"/>
    <s v="SI"/>
    <s v="SI"/>
    <x v="1"/>
    <x v="1"/>
    <x v="7"/>
    <m/>
    <n v="38421000"/>
    <s v="NO"/>
    <m/>
  </r>
  <r>
    <x v="57"/>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11"/>
    <s v="LP-01 HONORARIOS SERVICIOS DE APOYO"/>
    <s v="1. Plan de Contratación"/>
    <s v="GASTOS OPERACIONALES"/>
    <s v="A-8-3-9-10-01"/>
    <s v="HONORARIOS VARIOS INCAUTADO"/>
    <s v="HONORARIOS VARIOS INCAUTADO"/>
    <x v="9"/>
    <n v="105"/>
    <x v="9"/>
    <n v="72851666"/>
    <n v="80111600"/>
    <x v="53"/>
    <x v="3"/>
    <s v="MARZO"/>
    <n v="8"/>
    <s v="MESES"/>
    <x v="0"/>
    <s v="FRISCO"/>
    <n v="34164000"/>
    <n v="34164000"/>
    <s v="NO"/>
    <s v="NO"/>
    <s v="OFICINA DE INTEGRIDAD, ANTICORRUPCIÓN Y CUMPLIMIENTO"/>
    <s v="CO-DC-11001"/>
    <s v="DANIEL SEBASTIAN CONTRERAS ORTIZ"/>
    <n v="6017431444"/>
    <s v="dcontreras@saesas.gov.co"/>
    <s v="NO"/>
    <s v="NO"/>
    <s v="NO"/>
    <s v="SI"/>
    <s v="SI"/>
    <x v="1"/>
    <x v="1"/>
    <x v="7"/>
    <m/>
    <n v="34164000"/>
    <s v="NO"/>
    <m/>
  </r>
  <r>
    <x v="58"/>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20;2025LG218"/>
    <s v="LP-01 OPERADOR LOGISTICO"/>
    <s v="1. Plan de Contratación"/>
    <s v="GASTOS DE PERSONAL "/>
    <s v="A-1-0-2-12-01"/>
    <s v="HONORARIOS ADMINISTRATIVOS EXTINTO;HONORARIOS ADMINISTRATIVOS"/>
    <s v="HONORARIOS ADMINISTRATIVOS EXTINTO_x000a_HONORARIOS ADMINISTRATIVOS"/>
    <x v="10"/>
    <n v="130"/>
    <x v="10"/>
    <n v="729000000"/>
    <s v="80111623;80141600;80141900;80161507;81141601;90101600;93141701;_x000a_94121513;80141607_x000a_"/>
    <x v="54"/>
    <x v="6"/>
    <s v="JUNIO"/>
    <n v="6"/>
    <s v="MESES"/>
    <x v="1"/>
    <s v="FRISCO _x000a_SAE"/>
    <n v="670000000"/>
    <n v="670000000"/>
    <s v="NO"/>
    <s v="NO"/>
    <s v="OFICINA DE PRENSA Y COMUNICACIONES"/>
    <s v="CO-DC-11001"/>
    <s v="MAURICIO ALEXIS RIVEROS QUINTERO"/>
    <n v="3012606640"/>
    <s v="mriveros@saesas.gov.co"/>
    <s v="NO"/>
    <s v="NO"/>
    <s v="NO"/>
    <s v="SI"/>
    <s v="SI"/>
    <x v="1"/>
    <x v="1"/>
    <x v="7"/>
    <m/>
    <n v="670000000"/>
    <s v="296-2023"/>
    <d v="2025-06-30T00:00:00"/>
  </r>
  <r>
    <x v="59"/>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19"/>
    <s v="LP-01 HONORARIOS SERVICIOS PROFESIONALES PARA APOYO A LA GESTIÓN DE LA OFICINA DE COMUNICACIONES Y ATENCION AL CIUDADANO"/>
    <s v="1. Plan de Contratación"/>
    <s v="GASTOS DE PERSONAL "/>
    <s v="A-1-0-2-12-01"/>
    <s v="HONORARIOS ADMINISTRATIVOS"/>
    <s v="HONORARIOS ADMINISTRATIVOS"/>
    <x v="10"/>
    <n v="130"/>
    <x v="10"/>
    <n v="65530000"/>
    <n v="80111600"/>
    <x v="55"/>
    <x v="1"/>
    <s v="FEBRERO"/>
    <n v="10"/>
    <s v="MESES"/>
    <x v="0"/>
    <s v="SAE"/>
    <n v="52130000"/>
    <n v="52130000"/>
    <s v="NO"/>
    <s v="NO"/>
    <s v="OFICINA DE PRENSA Y COMUNICACIONES"/>
    <s v="CO-DC-11001"/>
    <s v="MAURICIO ALEXIS RIVEROS QUINTERO"/>
    <n v="3012606640"/>
    <s v="mriveros@saesas.gov.co"/>
    <s v="NO"/>
    <s v="NO"/>
    <s v="NO"/>
    <s v="SI"/>
    <s v="SI"/>
    <x v="1"/>
    <x v="1"/>
    <x v="7"/>
    <m/>
    <n v="52130000"/>
    <s v="NO"/>
    <m/>
  </r>
  <r>
    <x v="60"/>
    <s v="Dimensión Procesos__x000a__x000a_Inventario de activos y portafolios administrados por la SAE actualizados"/>
    <s v="Diseñar, desarrollar e implementar la estrategia de transición digital que propenda por la transparencia y adecuada administración de los activos."/>
    <s v="2025LG220"/>
    <s v="LP-32 LICENCIAS ADOBE"/>
    <s v="1. Plan de Contratación"/>
    <s v="GASTOS GENERALES "/>
    <s v="A-2-0-4-01-08"/>
    <s v="SOFTWARE"/>
    <s v="SOFTWARE"/>
    <x v="10"/>
    <n v="130"/>
    <x v="10"/>
    <n v="100000000"/>
    <n v="81112501"/>
    <x v="56"/>
    <x v="3"/>
    <s v="ABRIL"/>
    <n v="9"/>
    <s v="MESES"/>
    <x v="0"/>
    <s v="SAE"/>
    <n v="100000000"/>
    <n v="100000000"/>
    <s v="NO"/>
    <s v="NO"/>
    <s v="OFICINA DE PRENSA Y COMUNICACIONES"/>
    <s v="CO-DC-11001"/>
    <s v="MAURICIO ALEXIS RIVEROS QUINTERO"/>
    <n v="3012606640"/>
    <s v="mriveros@saesas.gov.co"/>
    <s v="NO"/>
    <s v="NO"/>
    <s v="NO"/>
    <s v="SI"/>
    <s v="SI"/>
    <x v="1"/>
    <x v="1"/>
    <x v="7"/>
    <m/>
    <n v="100000000"/>
    <s v="NO"/>
    <m/>
  </r>
  <r>
    <x v="61"/>
    <s v="Dimensión Procesos__x000a__x000a_Inventario de activos y portafolios administrados por la SAE actualizados"/>
    <s v="Diseñar, desarrollar e implementar la estrategia de transición digital que propenda por la transparencia y adecuada administración de los activos."/>
    <s v="2025LG221"/>
    <s v="LP-03 IMPRESOS"/>
    <s v="1. Plan de Contratación"/>
    <s v="GASTOS GENERALES "/>
    <s v="A-2-0-4-07-06"/>
    <s v="OTROS GASTOS POR IMPRESOS Y PUBLICACIONES"/>
    <s v="OTROS GASTOS POR IMPRESOS Y PUBLICACIONES"/>
    <x v="10"/>
    <n v="130"/>
    <x v="10"/>
    <n v="80000000"/>
    <s v="55101500;73151900;82101500;82121500"/>
    <x v="57"/>
    <x v="3"/>
    <s v="ABRIL"/>
    <n v="9"/>
    <s v="MESES"/>
    <x v="3"/>
    <s v="SAE"/>
    <n v="77000000"/>
    <n v="77000000"/>
    <s v="NO"/>
    <s v="NO"/>
    <s v="OFICINA DE PRENSA Y COMUNICACIONES"/>
    <s v="CO-DC-11001"/>
    <s v="MAURICIO ALEXIS RIVEROS QUINTERO"/>
    <n v="3012606640"/>
    <s v="mriveros@saesas.gov.co"/>
    <s v="NO"/>
    <s v="NO"/>
    <s v="NO"/>
    <s v="SI"/>
    <s v="SI"/>
    <x v="1"/>
    <x v="1"/>
    <x v="7"/>
    <m/>
    <n v="77000000"/>
    <s v="016-2017"/>
    <m/>
  </r>
  <r>
    <x v="62"/>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15_x000a_"/>
    <s v="LP-32 COMPRA DE INFRAESTRUCTURA Y LOS SERVICIOS QUE LA ACOMPAÑAN (REDES, COMUNICACIONES, SEGURIDAD, SERVICIO DE NUBE, SOFTWARE BASE Y TRANSFERENCIA DE CONOCIMIENTO, ENTRE OTROS)_x000a_"/>
    <s v="1. Plan de Contratación"/>
    <s v="GASTOS GENERALES "/>
    <s v="A-2-0-4-01-06"/>
    <s v="HARDWARE EXTINTO"/>
    <s v="HARDWARE EXTINTO"/>
    <x v="11"/>
    <n v="120"/>
    <x v="11"/>
    <n v="1929727728"/>
    <s v="8111250;181112200;81112501"/>
    <x v="58"/>
    <x v="3"/>
    <s v="ABRIL"/>
    <n v="1"/>
    <s v="AÑOS"/>
    <x v="4"/>
    <s v="FRISCO "/>
    <n v="1407317170"/>
    <n v="1407317170"/>
    <s v="SI"/>
    <s v="EN PROYECCIÓN"/>
    <s v="OFICINA DE TECNOLOGÍAS Y SISTEMAS DE LA INFORMACIÓN"/>
    <s v="CO-DC-11001"/>
    <s v="DIVEITH DIANA CRISTINA DÁVILA GÓMEZ"/>
    <n v="6017431444"/>
    <s v="ddavila@saesas.gov.co"/>
    <s v="NO"/>
    <s v="NO"/>
    <s v="NO"/>
    <s v="SI"/>
    <s v="SI"/>
    <x v="0"/>
    <x v="1"/>
    <x v="7"/>
    <m/>
    <n v="1407317170"/>
    <s v="NO"/>
    <m/>
  </r>
  <r>
    <x v="63"/>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19"/>
    <s v="LP-01 HONORARIOS PERSONAL PARA PROYECTO OGI"/>
    <s v="1. Plan de Contratación"/>
    <s v="GASTOS DE PERSONAL "/>
    <s v="A-1-0-2-12-01"/>
    <s v="HONORARIOS ADMINISTRATIVOS EXTINTO"/>
    <s v="HONORARIOS ADMINISTRATIVOS EXTINTO"/>
    <x v="11"/>
    <n v="120"/>
    <x v="11"/>
    <n v="73987923"/>
    <n v="80111600"/>
    <x v="59"/>
    <x v="1"/>
    <s v="FEBRERO"/>
    <n v="11"/>
    <s v="MESES"/>
    <x v="0"/>
    <s v="FRISCO "/>
    <n v="93944752"/>
    <n v="93944752"/>
    <s v="NO"/>
    <s v="NO"/>
    <s v="OFICINA DE TECNOLOGÍAS Y SISTEMAS DE LA INFORMACIÓN"/>
    <s v="CO-DC-11001"/>
    <s v="DIVEITH DIANA CRISTINA DÁVILA GÓMEZ"/>
    <n v="6017431444"/>
    <s v="ddavila@saesas.gov.co"/>
    <s v="NO"/>
    <s v="NO"/>
    <s v="NO"/>
    <s v="SI"/>
    <s v="SI"/>
    <x v="0"/>
    <x v="1"/>
    <x v="7"/>
    <m/>
    <n v="93944752"/>
    <s v="NO"/>
    <m/>
  </r>
  <r>
    <x v="64"/>
    <s v="Dimensión Procesos__x000a__x000a_Inventario de activos y portafolios administrados por la SAE actualizados"/>
    <s v="Diseñar, desarrollar e implementar la estrategia de transición digital que propenda por la transparencia y adecuada administración de los activos."/>
    <s v="2025LG019"/>
    <s v="LP-01 HONORARIOS PERSONAL PARA PROYECTO OGI"/>
    <s v="1. Plan de Contratación"/>
    <s v="GASTOS DE PERSONAL "/>
    <s v="A-1-0-2-12-01"/>
    <s v="HONORARIOS ADMINISTRATIVOS EXTINTO"/>
    <s v="HONORARIOS ADMINISTRATIVOS EXTINTO"/>
    <x v="11"/>
    <n v="120"/>
    <x v="11"/>
    <n v="73987923"/>
    <n v="80111600"/>
    <x v="60"/>
    <x v="1"/>
    <s v="FEBRERO"/>
    <n v="6"/>
    <s v="MESES"/>
    <x v="0"/>
    <s v="FRISCO "/>
    <n v="73987923"/>
    <n v="73987923"/>
    <s v="NO"/>
    <s v="NO"/>
    <s v="OFICINA DE TECNOLOGÍAS Y SISTEMAS DE LA INFORMACIÓN"/>
    <s v="CO-DC-11001"/>
    <s v="DIVEITH DIANA CRISTINA DÁVILA GÓMEZ"/>
    <n v="6017431444"/>
    <s v="ddavila@saesas.gov.co"/>
    <s v="NO"/>
    <s v="NO"/>
    <s v="NO"/>
    <s v="SI"/>
    <s v="SI"/>
    <x v="0"/>
    <x v="1"/>
    <x v="7"/>
    <m/>
    <n v="73987923"/>
    <s v="NO"/>
    <m/>
  </r>
  <r>
    <x v="65"/>
    <s v="Dimensión Procesos__x000a__x000a_Inventario de activos y portafolios administrados por la SAE actualizados"/>
    <s v="Diseñar, desarrollar e implementar la estrategia de transición digital que propenda por la transparencia y adecuada administración de los activos."/>
    <s v="2025LG014"/>
    <s v="LP-32 COMPRA DE APLICACIONES Y LOS SERVICIOS QUE LA ACOMPAÑAN (SUSCRIPCIONES, LICENCIAMIENTO, RENOVACIÓN, SEGURIDAD, SERVICIOS DE NUBE Y TRANSFERENCIA DE CONOCIMIENTO, ENTRE OTROS)"/>
    <s v="1. Plan de Contratación"/>
    <s v="GASTOS GENERALES "/>
    <s v="A-2-0-4-01-08"/>
    <s v="SOFTWARE EXTINTO"/>
    <s v="SOFTWARE EXTINTO"/>
    <x v="11"/>
    <n v="120"/>
    <x v="11"/>
    <n v="1929727728"/>
    <s v="81112100;81112000"/>
    <x v="61"/>
    <x v="1"/>
    <s v="FEBRERO"/>
    <n v="1"/>
    <s v="AÑOS"/>
    <x v="2"/>
    <s v="FRISCO"/>
    <n v="600000000"/>
    <n v="450000000"/>
    <s v="SI"/>
    <s v="EN PROYECCIÓN"/>
    <s v="OFICINA DE TECNOLOGÍAS Y SISTEMAS DE LA INFORMACIÓN"/>
    <s v="CO-DC-11001"/>
    <s v="DIVEITH DIANA CRISTINA DÁVILA GÓMEZ"/>
    <n v="6017431444"/>
    <s v="ddavila@saesas.gov.co"/>
    <s v="NO"/>
    <s v="NO"/>
    <s v="NO"/>
    <s v="SI"/>
    <s v="SI"/>
    <x v="0"/>
    <x v="1"/>
    <x v="7"/>
    <m/>
    <n v="600000000"/>
    <s v="NO"/>
    <m/>
  </r>
  <r>
    <x v="66"/>
    <s v="Dimensión Procesos__x000a__x000a_Inventario de activos y portafolios administrados por la SAE actualizados"/>
    <s v="Diseñar, desarrollar e implementar la estrategia de transición digital que propenda por la transparencia y adecuada administración de los activos."/>
    <s v="2025LG017"/>
    <s v="LP-32 MANTENIMIENTO DE APLICACIONES Y LOS SERVICIOS QUE LA ACOMPAÑAN (SOPORTE, ENTRE OTROS)"/>
    <s v="1. Plan de Contratación"/>
    <s v="GASTOS GENERALES "/>
    <s v="A-2-0-4-05-13"/>
    <s v="MANTENIMIENTO DE SOFTWARE"/>
    <s v="MANTENIMIENTO DE SOFTWARE"/>
    <x v="11"/>
    <n v="120"/>
    <x v="11"/>
    <n v="859564913"/>
    <n v="81112501"/>
    <x v="62"/>
    <x v="1"/>
    <s v="MARZO"/>
    <n v="1"/>
    <s v="AÑOS"/>
    <x v="4"/>
    <s v="FRISCO"/>
    <n v="1400000000"/>
    <n v="700000000"/>
    <s v="SI"/>
    <s v="EN PROYECCIÓN"/>
    <s v="OFICINA DE TECNOLOGÍAS Y SISTEMAS DE LA INFORMACIÓN"/>
    <s v="CO-DC-11001"/>
    <s v="DIVEITH DIANA CRISTINA DÁVILA GÓMEZ"/>
    <n v="6017431444"/>
    <s v="ddavila@saesas.gov.co"/>
    <s v="NO"/>
    <s v="NO"/>
    <s v="NO"/>
    <s v="SI"/>
    <s v="SI"/>
    <x v="0"/>
    <x v="1"/>
    <x v="7"/>
    <m/>
    <n v="1400000000"/>
    <s v="NO"/>
    <m/>
  </r>
  <r>
    <x v="67"/>
    <s v="Dimensión Procesos__x000a__x000a_Inventario de activos y portafolios administrados por la SAE actualizados"/>
    <s v="Diseñar, desarrollar e implementar la estrategia de transición digital que propenda por la transparencia y adecuada administración de los activos."/>
    <s v="2025LG016"/>
    <s v="LP-07 ARRENDAMIENTOS DE HARDWARE Y SOFTWARE Y LOS SERVICIOS QUE LO ACOMPAÑAN (SUSCRIPCIONES, LICENCIAMIENTO, RENOVACIÓN, SEGURIDAD, SERVICIOS DE NUBE Y TRANSFERENCIA DE CONOCIMIENTO, ENTRE OTROS)"/>
    <s v="1. Plan de Contratación"/>
    <s v="GASTOS GENERALES "/>
    <s v="A-2-0-4-10-01"/>
    <s v="ARRENDAMIENTO DE BIENES MUEBLES"/>
    <s v="ARRENDAMIENTO DE BIENES MUEBLES"/>
    <x v="11"/>
    <n v="120"/>
    <x v="11"/>
    <n v="500000000"/>
    <n v="81112502"/>
    <x v="63"/>
    <x v="1"/>
    <s v="MARZO"/>
    <n v="1"/>
    <s v="AÑOS"/>
    <x v="4"/>
    <s v="FRISCO"/>
    <n v="3000000000"/>
    <n v="500000000"/>
    <s v="SI"/>
    <s v="EN PROYECCIÓN"/>
    <s v="OFICINA DE TECNOLOGÍAS Y SISTEMAS DE LA INFORMACIÓN"/>
    <s v="CO-DC-11001"/>
    <s v="DIVEITH DIANA CRISTINA DÁVILA GÓMEZ"/>
    <n v="6017431444"/>
    <s v="ddavila@saesas.gov.co"/>
    <s v="NO"/>
    <s v="NO"/>
    <s v="NO"/>
    <s v="SI"/>
    <s v="SI"/>
    <x v="1"/>
    <x v="1"/>
    <x v="7"/>
    <m/>
    <n v="3000000000"/>
    <s v="066-2020"/>
    <d v="2025-09-20T00:00:00"/>
  </r>
  <r>
    <x v="68"/>
    <s v="Dimensión Procesos__x000a__x000a_Inventario de activos y portafolios administrados por la SAE actualizados"/>
    <s v="Diseñar, desarrollar e implementar la estrategia de transición digital que propenda por la transparencia y adecuada administración de los activos."/>
    <s v="2025LG014"/>
    <s v="LP-32 COMPRA DE APLICACIONES Y LOS SERVICIOS QUE LA ACOMPAÑAN (SUSCRIPCIONES, LICENCIAMIENTO, RENOVACIÓN, SEGURIDAD, SERVICIOS DE NUBE Y TRANSFERENCIA DE CONOCIMIENTO, ENTRE OTROS)"/>
    <s v="1. Plan de Contratación"/>
    <s v="GASTOS GENERALES "/>
    <s v="A-2-0-4-01-08"/>
    <s v="SOFTWARE EXTINTO"/>
    <s v="SOFTWARE EXTINTO"/>
    <x v="11"/>
    <n v="120"/>
    <x v="11"/>
    <n v="1929727728"/>
    <n v="81112400"/>
    <x v="64"/>
    <x v="1"/>
    <s v="MARZO"/>
    <n v="1"/>
    <s v="AÑOS"/>
    <x v="4"/>
    <s v="FRISCO"/>
    <n v="1950000000"/>
    <n v="975000000"/>
    <s v="SI"/>
    <s v="EN PROYECCIÓN"/>
    <s v="OFICINA DE TECNOLOGÍAS Y SISTEMAS DE LA INFORMACIÓN"/>
    <s v="CO-DC-11001"/>
    <s v="DIVEITH DIANA CRISTINA DÁVILA GÓMEZ"/>
    <n v="6017431444"/>
    <s v="ddavila@saesas.gov.co"/>
    <s v="NO"/>
    <s v="NO"/>
    <s v="NO"/>
    <s v="SI"/>
    <s v="SI"/>
    <x v="1"/>
    <x v="1"/>
    <x v="7"/>
    <m/>
    <n v="1950000000"/>
    <s v="049-2023"/>
    <d v="2025-06-27T00:00:00"/>
  </r>
  <r>
    <x v="69"/>
    <s v="Dimensión Procesos__x000a__x000a_Inventario de activos y portafolios administrados por la SAE actualizados"/>
    <s v="Diseñar, desarrollar e implementar la estrategia de transición digital que propenda por la transparencia y adecuada administración de los activos."/>
    <s v="2025LG017"/>
    <s v="LP-32 MANTENIMIENTO DE APLICACIONES Y LOS SERVICIOS QUE LA ACOMPAÑAN (SOPORTE, ENTRE OTROS)"/>
    <s v="1. Plan de Contratación"/>
    <s v="GASTOS GENERALES "/>
    <s v="A-2-0-4-05-13"/>
    <s v="MANTENIMIENTO DE SOFTWARE"/>
    <s v="MANTENIMIENTO DE SOFTWARE"/>
    <x v="11"/>
    <n v="120"/>
    <x v="11"/>
    <n v="859564913"/>
    <s v="81112200;81111800"/>
    <x v="65"/>
    <x v="4"/>
    <s v="AGOSTO"/>
    <n v="1"/>
    <s v="AÑOS"/>
    <x v="1"/>
    <s v="FRISCO"/>
    <n v="35000000"/>
    <n v="35000000"/>
    <s v="NO"/>
    <s v="NO"/>
    <s v="OFICINA DE TECNOLOGÍAS Y SISTEMAS DE LA INFORMACIÓN"/>
    <s v="CO-DC-11001"/>
    <s v="DIVEITH DIANA CRISTINA DÁVILA GÓMEZ"/>
    <n v="6017431444"/>
    <s v="ddavila@saesas.gov.co"/>
    <s v="NO"/>
    <s v="NO"/>
    <s v="NO"/>
    <s v="SI"/>
    <s v="SI"/>
    <x v="1"/>
    <x v="1"/>
    <x v="7"/>
    <m/>
    <n v="35000000"/>
    <s v="085-2021"/>
    <d v="2025-10-13T00:00:00"/>
  </r>
  <r>
    <x v="70"/>
    <s v="Dimensión Procesos__x000a__x000a_Inventario de activos y portafolios administrados por la SAE actualizados"/>
    <s v="Diseñar, desarrollar e implementar la estrategia de transición digital que propenda por la transparencia y adecuada administración de los activos."/>
    <s v="2025LG017"/>
    <s v="LP-32 MANTENIMIENTO DE APLICACIONES Y LOS SERVICIOS QUE LA ACOMPAÑAN (SOPORTE, ENTRE OTROS)"/>
    <s v="1. Plan de Contratación"/>
    <s v="GASTOS GENERALES "/>
    <s v="A-2-0-4-05-13"/>
    <s v="MANTENIMIENTO DE SOFTWARE"/>
    <s v="MANTENIMIENTO DE SOFTWARE"/>
    <x v="11"/>
    <n v="120"/>
    <x v="11"/>
    <n v="859564913"/>
    <n v="81112200"/>
    <x v="66"/>
    <x v="6"/>
    <s v="JUNIO"/>
    <n v="1"/>
    <s v="AÑOS"/>
    <x v="0"/>
    <s v="FRISCO"/>
    <n v="140000000"/>
    <n v="140000000"/>
    <s v="NO"/>
    <m/>
    <s v="OFICINA DE TECNOLOGÍAS Y SISTEMAS DE LA INFORMACIÓN"/>
    <s v="CO-DC-11001"/>
    <s v="DIVEITH DIANA CRISTINA DÁVILA GÓMEZ"/>
    <n v="6017431444"/>
    <s v="ddavila@saesas.gov.co"/>
    <s v="NO"/>
    <s v="NO"/>
    <s v="NO"/>
    <s v="SI"/>
    <s v="SI"/>
    <x v="1"/>
    <x v="1"/>
    <x v="7"/>
    <m/>
    <n v="140000000"/>
    <s v="095-2024"/>
    <d v="2025-08-04T00:00:00"/>
  </r>
  <r>
    <x v="71"/>
    <s v="Dimensión Procesos__x000a__x000a_Inventario de activos y portafolios administrados por la SAE actualizados"/>
    <s v="Diseñar, desarrollar e implementar la estrategia de transición digital que propenda por la transparencia y adecuada administración de los activos."/>
    <s v="2025LG015_x000a_"/>
    <s v="LP-32 COMPRA DE INFRAESTRUCTURA Y LOS SERVICIOS QUE LA ACOMPAÑAN (REDES, COMUNICACIONES, SEGURIDAD, SERVICIO DE NUBE, SOFTWARE BASE Y TRANSFERENCIA DE CONOCIMIENTO, ENTRE OTROS)_x000a_"/>
    <s v="1. Plan de Contratación"/>
    <s v="GASTOS GENERALES "/>
    <s v="A-2-0-4-01-06_x000a_"/>
    <s v="HARDWARE EXTINTO_x000a__x000a_"/>
    <s v="HARDWARE EXTINTO_x000a__x000a_"/>
    <x v="11"/>
    <n v="120"/>
    <x v="11"/>
    <n v="1324678563"/>
    <s v="81112400;81111800"/>
    <x v="67"/>
    <x v="1"/>
    <s v="MARZO"/>
    <n v="1"/>
    <s v="AÑOS"/>
    <x v="1"/>
    <s v="FRISCO"/>
    <n v="110000000"/>
    <n v="110000000"/>
    <s v="NO"/>
    <s v="NO"/>
    <s v="OFICINA DE TECNOLOGÍAS Y SISTEMAS DE LA INFORMACIÓN"/>
    <s v="CO-DC-11001"/>
    <s v="DIVEITH DIANA CRISTINA DÁVILA GÓMEZ"/>
    <n v="6017431444"/>
    <s v="ddavila@saesas.gov.co"/>
    <s v="NO"/>
    <s v="NO"/>
    <s v="NO"/>
    <s v="SI"/>
    <s v="SI"/>
    <x v="1"/>
    <x v="1"/>
    <x v="7"/>
    <m/>
    <n v="110000000"/>
    <s v="NO"/>
    <m/>
  </r>
  <r>
    <x v="72"/>
    <s v="Dimensión Procesos__x000a__x000a_Inventario de activos y portafolios administrados por la SAE actualizados"/>
    <s v="Diseñar, desarrollar e implementar la estrategia de transición digital que propenda por la transparencia y adecuada administración de los activos."/>
    <s v="2025LG014"/>
    <s v="LP-32 COMPRA DE APLICACIONES Y LOS SERVICIOS QUE LA ACOMPAÑAN (SUSCRIPCIONES, LICENCIAMIENTO, RENOVACIÓN, SEGURIDAD, SERVICIOS DE NUBE Y TRANSFERENCIA DE CONOCIMIENTO, ENTRE OTROS)"/>
    <s v="1. Plan de Contratación"/>
    <s v="GASTOS GENERALES "/>
    <s v="A-2-0-4-01-08"/>
    <s v="SOFTWARE EXTINTO"/>
    <s v="SOFTWARE EXTINTO"/>
    <x v="11"/>
    <n v="120"/>
    <x v="11"/>
    <n v="1929727728"/>
    <s v="81112200;43233400"/>
    <x v="68"/>
    <x v="4"/>
    <s v="AGOSTO"/>
    <n v="1"/>
    <s v="AÑOS"/>
    <x v="1"/>
    <s v="FRISCO"/>
    <n v="200000000"/>
    <n v="200000000"/>
    <s v="NO"/>
    <s v="NO"/>
    <s v="OFICINA DE TECNOLOGÍAS Y SISTEMAS DE LA INFORMACIÓN"/>
    <s v="CO-DC-11001"/>
    <s v="DIVEITH DIANA CRISTINA DÁVILA GÓMEZ"/>
    <n v="6017431444"/>
    <s v="ddavila@saesas.gov.co"/>
    <s v="NO"/>
    <s v="NO"/>
    <s v="NO"/>
    <s v="SI"/>
    <s v="SI"/>
    <x v="1"/>
    <x v="1"/>
    <x v="7"/>
    <m/>
    <n v="200000000"/>
    <s v="186-2024"/>
    <d v="2025-11-28T00:00:00"/>
  </r>
  <r>
    <x v="73"/>
    <s v="Dimensión Procesos__x000a__x000a_Inventario de activos y portafolios administrados por la SAE actualizados"/>
    <s v="Diseñar, desarrollar e implementar la estrategia de transición digital que propenda por la transparencia y adecuada administración de los activos."/>
    <s v="2025LG214"/>
    <s v="LP-32 MANTENIMIENTO DE APLICACIONES Y LOS SERVICIOS QUE LA ACOMPAÑAN (SOPORTE, ENTRE OTROS)"/>
    <s v="1. Plan de Contratación"/>
    <s v="GASTOS GENERALES "/>
    <s v="A-2-0-4-05-13"/>
    <s v="MANTENIMIENTO DE SOFTWARE"/>
    <s v="MANTENIMIENTO DE SOFTWARE"/>
    <x v="11"/>
    <n v="120"/>
    <x v="11"/>
    <n v="336600000"/>
    <s v="81112400;43233400"/>
    <x v="69"/>
    <x v="7"/>
    <s v="JULIO"/>
    <n v="1"/>
    <s v="AÑOS"/>
    <x v="1"/>
    <s v="SAE"/>
    <n v="500000000"/>
    <n v="150000000"/>
    <s v="SI"/>
    <s v="EN SOLICITUD"/>
    <s v="OFICINA DE TECNOLOGÍAS Y SISTEMAS DE LA INFORMACIÓN"/>
    <s v="CO-DC-11001"/>
    <s v="DIVEITH DIANA CRISTINA DÁVILA GÓMEZ"/>
    <n v="6017431444"/>
    <s v="ddavila@saesas.gov.co"/>
    <s v="NO"/>
    <s v="NO"/>
    <s v="NO"/>
    <s v="SI"/>
    <s v="SI"/>
    <x v="1"/>
    <x v="1"/>
    <x v="7"/>
    <m/>
    <n v="500000000"/>
    <s v="086-2020"/>
    <d v="2025-10-27T00:00:00"/>
  </r>
  <r>
    <x v="74"/>
    <s v="Dimensión Procesos__x000a__x000a_Inventario de activos y portafolios administrados por la SAE actualizados"/>
    <s v="Diseñar, desarrollar e implementar la estrategia de transición digital que propenda por la transparencia y adecuada administración de los activos."/>
    <s v="2025LG212"/>
    <s v="LP-32 COMPRA DE APLICACIONES Y LOS SERVICIOS QUE LA ACOMPAÑAN (SUSCRIPCIONES, LICENCIAMIENTO, RENOVACIÓN, SEGURIDAD, SERVICIOS DE NUBE Y TRANSFERENCIA DE CONOCIMIENTO, ENTRE OTROS)"/>
    <s v="1. Plan de Contratación"/>
    <s v="GASTOS GENERALES "/>
    <s v="A-2-0-4-01-08"/>
    <s v="SOFTWARE"/>
    <s v="SOFTWARE"/>
    <x v="11"/>
    <n v="120"/>
    <x v="11"/>
    <n v="42893792"/>
    <n v="81112501"/>
    <x v="70"/>
    <x v="4"/>
    <s v="AGOSTO"/>
    <n v="1"/>
    <s v="AÑOS"/>
    <x v="1"/>
    <s v="SAE"/>
    <n v="15000000"/>
    <n v="15000000"/>
    <s v="NO"/>
    <s v="NO"/>
    <s v="OFICINA DE TECNOLOGÍAS Y SISTEMAS DE LA INFORMACIÓN"/>
    <s v="CO-DC-11001"/>
    <s v="DIVEITH DIANA CRISTINA DÁVILA GÓMEZ"/>
    <n v="6017431444"/>
    <s v="ddavila@saesas.gov.co"/>
    <s v="NO"/>
    <s v="NO"/>
    <s v="NO"/>
    <s v="SI"/>
    <s v="SI"/>
    <x v="1"/>
    <x v="1"/>
    <x v="7"/>
    <m/>
    <n v="15000000"/>
    <s v="NO"/>
    <m/>
  </r>
  <r>
    <x v="75"/>
    <s v="Dimensión Procesos__x000a__x000a_Inventario de activos y portafolios administrados por la SAE actualizados"/>
    <s v="Diseñar, desarrollar e implementar la estrategia de transición digital que propenda por la transparencia y adecuada administración de los activos."/>
    <s v="2025LG212"/>
    <s v="LP-32 COMPRA DE APLICACIONES Y LOS SERVICIOS QUE LA ACOMPAÑAN (SUSCRIPCIONES, LICENCIAMIENTO, RENOVACIÓN, SEGURIDAD, SERVICIOS DE NUBE Y TRANSFERENCIA DE CONOCIMIENTO, ENTRE OTROS)"/>
    <s v="1. Plan de Contratación"/>
    <s v="GASTOS GENERALES "/>
    <s v="A-2-0-4-01-08"/>
    <s v="SOFTWARE"/>
    <s v="SOFTWARE"/>
    <x v="11"/>
    <n v="120"/>
    <x v="11"/>
    <n v="629750000"/>
    <s v="81112501;43231512"/>
    <x v="71"/>
    <x v="7"/>
    <s v="JULIO"/>
    <n v="1"/>
    <s v="AÑOS"/>
    <x v="2"/>
    <s v="SAE"/>
    <n v="25000000"/>
    <n v="25000000"/>
    <s v="NO"/>
    <s v="EN PROYECCIÓN"/>
    <s v="OFICINA DE TECNOLOGÍAS Y SISTEMAS DE LA INFORMACIÓN"/>
    <s v="CO-DC-11001"/>
    <s v="DIVEITH DIANA CRISTINA DÁVILA GÓMEZ"/>
    <n v="6017431444"/>
    <s v="ddavila@saesas.gov.co"/>
    <s v="NO"/>
    <s v="NO"/>
    <s v="NO"/>
    <s v="SI"/>
    <s v="SI"/>
    <x v="1"/>
    <x v="1"/>
    <x v="7"/>
    <m/>
    <n v="25000000"/>
    <s v="NO"/>
    <m/>
  </r>
  <r>
    <x v="76"/>
    <s v="Dimensión de Grupos de Interés__x000a__x000a_Fomento y fortalecimiento de alianzas público populares y comunitari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12"/>
    <s v="LP-01 HONORARIOS SERVICIOS DE APOYO"/>
    <s v="1. Plan de Contratación"/>
    <s v="GASTOS DE PERSONAL "/>
    <s v="A-1-0-2-12-01"/>
    <s v="HONORARIOS ADMINISTRATIVOS EXTINTO"/>
    <s v="HONORARIOS ADMINISTRATIVOS EXTINTO"/>
    <x v="12"/>
    <n v="108"/>
    <x v="12"/>
    <n v="22000000"/>
    <n v="80111600"/>
    <x v="72"/>
    <x v="2"/>
    <s v="ABRIL"/>
    <n v="9"/>
    <s v="MESES"/>
    <x v="0"/>
    <s v="FRISCO"/>
    <n v="41500000"/>
    <n v="41500000"/>
    <s v="NO"/>
    <s v="NO"/>
    <s v="OFICINA JURÍDICA"/>
    <s v="CO-DC-11001"/>
    <s v="_x000a_JUAN BAUTISTA RIVAS RAMOS"/>
    <n v="6017431444"/>
    <s v="jrivas@saesas.gov.co"/>
    <s v="NO"/>
    <s v="NO"/>
    <s v="NO"/>
    <s v="SI"/>
    <s v="SI"/>
    <x v="1"/>
    <x v="1"/>
    <x v="7"/>
    <m/>
    <n v="41500000"/>
    <s v="NO"/>
    <m/>
  </r>
  <r>
    <x v="77"/>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3"/>
    <s v="LP-01 HONORARIOS SERVICIOS PROFESIONALES ESPECIALIZADOS PARA APOYAR A LA VICEPRESIDENCIA DE BIENES MUEBLES E INMUEBLES DE LA SAE EN LAS GESTIONES QUE SE DEBAN ADOPTAR EN EL MARCO DE LAS FUNCIONES DE LA VICEPRESIDENCIA"/>
    <s v="1. Plan de Contratación"/>
    <s v="GASTOS DE PERSONAL "/>
    <s v="A-1-0-2-12-01"/>
    <s v="HONORARIOS ADMINISTRATIVOS EXTINTO"/>
    <s v="HONORARIOS ADMINISTRATIVOS EXTINTO"/>
    <x v="13"/>
    <n v="400"/>
    <x v="13"/>
    <n v="273500000"/>
    <n v="80111600"/>
    <x v="73"/>
    <x v="3"/>
    <s v="ABRIL"/>
    <n v="9"/>
    <s v="MESES"/>
    <x v="0"/>
    <s v="FRISCO "/>
    <n v="81000000"/>
    <n v="81000000"/>
    <s v="NO"/>
    <s v="NO"/>
    <s v="VICEPRESIDENCIA DE ACTIVOS MUEBLES E INMUEBLES"/>
    <s v="CO-DC-11001"/>
    <s v="OMAR PINZON FLOREZ "/>
    <n v="6017431444"/>
    <s v="opinzon@saesas.gov.co"/>
    <s v="NO"/>
    <s v="NO"/>
    <s v="NO"/>
    <s v="SI"/>
    <s v="SI"/>
    <x v="0"/>
    <x v="1"/>
    <x v="24"/>
    <m/>
    <n v="81000000"/>
    <s v="NO"/>
    <m/>
  </r>
  <r>
    <x v="78"/>
    <s v="Dimensión de Grupos de Interés__x000a__x000a_Fomento y fortalecimiento de alianzas público populares y comunitarios"/>
    <s v="Promover la creación de alianzas público populares, comunitarias, cooperativas, corporativas y de cooperación internacional, que permitan el uso y el goce de bienes y servicios de la SAE por parte de sus grupos de interés, así como su fortalecimiento institucional."/>
    <s v="2025LG133"/>
    <s v="LP-01 HONORARIOS SERVICIOS PROFESIONALES ESPECIALIZADOS PARA APOYAR A LA VICEPRESIDENCIA DE BIENES MUEBLES E INMUEBLES DE LA SAE EN LAS GESTIONES QUE SE DEBAN ADOPTAR EN EL MARCO DE LAS FUNCIONES DE LA VICEPRESIDENCIA"/>
    <s v="1. Plan de Contratación"/>
    <s v="GASTOS DE PERSONAL "/>
    <s v="A-1-0-2-12-01"/>
    <s v="HONORARIOS ADMINISTRATIVOS EXTINTO"/>
    <s v="HONORARIOS ADMINISTRATIVOS EXTINTO"/>
    <x v="13"/>
    <n v="400"/>
    <x v="13"/>
    <n v="273500000"/>
    <n v="80111600"/>
    <x v="74"/>
    <x v="3"/>
    <s v="ABRIL"/>
    <n v="9"/>
    <s v="MESES"/>
    <x v="0"/>
    <s v="FRISCO"/>
    <n v="99000000"/>
    <n v="99000000"/>
    <s v="NO"/>
    <s v="NO"/>
    <s v="VICEPRESIDENCIA DE ACTIVOS MUEBLES E INMUEBLES"/>
    <s v="CO-DC-11001"/>
    <s v="OMAR PINZON FLOREZ "/>
    <n v="6017431444"/>
    <s v="opinzon@saesas.gov.co"/>
    <s v="NO"/>
    <s v="NO"/>
    <s v="NO"/>
    <s v="SI"/>
    <s v="SI"/>
    <x v="0"/>
    <x v="1"/>
    <x v="7"/>
    <m/>
    <n v="99000000"/>
    <s v="NO"/>
    <m/>
  </r>
  <r>
    <x v="79"/>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3"/>
    <s v="LP-01 HONORARIOS SERVICIOS PROFESIONALES ESPECIALIZADOS PARA APOYAR A LA VICEPRESIDENCIA DE BIENES MUEBLES E INMUEBLES DE LA SAE EN LAS GESTIONES QUE SE DEBAN ADOPTAR EN EL MARCO DE LAS FUNCIONES DE LA VICEPRESIDENCIA"/>
    <s v="1. Plan de Contratación"/>
    <s v="GASTOS DE PERSONAL "/>
    <s v="A-1-0-2-12-01"/>
    <s v="HONORARIOS ADMINISTRATIVOS EXTINTO"/>
    <s v="HONORARIOS ADMINISTRATIVOS EXTINTO"/>
    <x v="13"/>
    <n v="400"/>
    <x v="13"/>
    <n v="273500000"/>
    <n v="80111600"/>
    <x v="73"/>
    <x v="3"/>
    <s v="ABRIL"/>
    <n v="9"/>
    <s v="MESES"/>
    <x v="0"/>
    <s v="FRISCO"/>
    <n v="62100000"/>
    <n v="62100000"/>
    <s v="NO"/>
    <s v="NO"/>
    <s v="VICEPRESIDENCIA DE ACTIVOS MUEBLES E INMUEBLES"/>
    <s v="CO-DC-11001"/>
    <s v="OMAR PINZON FLOREZ "/>
    <n v="6017431444"/>
    <s v="opinzon@saesas.gov.co"/>
    <s v="NO"/>
    <s v="NO"/>
    <s v="NO"/>
    <s v="SI"/>
    <s v="SI"/>
    <x v="0"/>
    <x v="1"/>
    <x v="7"/>
    <m/>
    <n v="62100000"/>
    <s v="NO"/>
    <m/>
  </r>
  <r>
    <x v="80"/>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67"/>
    <s v="LP-01 HONORARIOS DE SERVICIOS PROFESIONALES PARA EL APOYO A LA GESTION DE LA VICEPRESIDENCIA DE SOCIEDADES"/>
    <s v="1. Plan de Contratación"/>
    <s v="GASTOS OPERACIONALES"/>
    <s v="A-8-3-9-10-01"/>
    <s v="HONORARIOS VARIOS INCAUTADO"/>
    <s v="HONORARIOS VARIOS INCAUTADO"/>
    <x v="14"/>
    <n v="500"/>
    <x v="14"/>
    <n v="539350000"/>
    <n v="80111600"/>
    <x v="75"/>
    <x v="3"/>
    <s v="MARZO"/>
    <n v="315"/>
    <s v="DIAS "/>
    <x v="0"/>
    <s v="FRISCO "/>
    <n v="157500000"/>
    <n v="157500000"/>
    <s v="NO"/>
    <s v="NO"/>
    <s v="VICEPRESIDENCIA DE SOCIEDADES"/>
    <s v="CO-DC-11001"/>
    <s v=" HERMEY CAMILO LOPEZ ACOSTA "/>
    <n v="6017431444"/>
    <s v="hlopez@saesas.gov.co"/>
    <s v="NO"/>
    <s v="NO"/>
    <s v="NO"/>
    <s v="SI"/>
    <s v="SI"/>
    <x v="0"/>
    <x v="1"/>
    <x v="7"/>
    <m/>
    <n v="157500000"/>
    <s v="NO"/>
    <m/>
  </r>
  <r>
    <x v="81"/>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27"/>
    <s v="LP-01 DEFENSA JUDICIAL, CARTERA, VIGILANCIA JUDICIAL,  PERITOS ESPECIALES,  PROCESOS ESPECIALES, ENTRE OTROS"/>
    <s v="1. Plan de Contratación"/>
    <s v="Gastos de personal"/>
    <s v="A-8-3-9-10-02"/>
    <s v="HONORARIOS JURIDICOS INCAUTADO"/>
    <s v="HONORARIOS JURIDICOS INCAUTADO"/>
    <x v="15"/>
    <n v="310"/>
    <x v="15"/>
    <n v="1108827576"/>
    <n v="80111600"/>
    <x v="76"/>
    <x v="3"/>
    <s v="MARZO"/>
    <n v="12"/>
    <s v="MESES"/>
    <x v="0"/>
    <s v="FRISCO"/>
    <n v="266258400"/>
    <n v="199693800"/>
    <s v="SI"/>
    <s v="NO SOLICITADAS"/>
    <s v="DIRECCIÓN DE ASUNTOS LEGALES MISIONALES"/>
    <s v="CO-DC-11001"/>
    <s v="ANYI SHARLYN MARÍN CAMARGO"/>
    <s v="7431444 Ext. 431"/>
    <s v="amarin@saesas.gov.co"/>
    <s v="NO"/>
    <s v="NO"/>
    <s v="NO"/>
    <s v="SI"/>
    <s v="SI"/>
    <x v="1"/>
    <x v="1"/>
    <x v="7"/>
    <m/>
    <n v="266258400"/>
    <s v="NO"/>
    <m/>
  </r>
  <r>
    <x v="82"/>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27"/>
    <s v="LP-01 DEFENSA JUDICIAL, CARTERA, VIGILANCIA JUDICIAL,  PERITOS ESPECIALES,  PROCESOS ESPECIALES, ENTRE OTROS"/>
    <s v="1. Plan de Contratación"/>
    <s v="Gastos de personal"/>
    <s v="A-8-3-9-10-02"/>
    <s v="HONORARIOS JURIDICOS INCAUTADO"/>
    <s v="HONORARIOS JURIDICOS INCAUTADO"/>
    <x v="15"/>
    <n v="310"/>
    <x v="15"/>
    <n v="1108827576"/>
    <n v="80111600"/>
    <x v="77"/>
    <x v="3"/>
    <s v="MARZO"/>
    <n v="12"/>
    <s v="MESES"/>
    <x v="0"/>
    <s v="FRISCO"/>
    <n v="726424800"/>
    <n v="544818600"/>
    <s v="SI"/>
    <s v="NO SOLICITADAS"/>
    <s v="DIRECCIÓN DE ASUNTOS LEGALES MISIONALES"/>
    <s v="CO-DC-11001"/>
    <s v="ANYI SHARLYN MARÍN CAMARGO"/>
    <s v="7431444 Ext. 431"/>
    <s v="amarin@saesas.gov.co"/>
    <s v="NO"/>
    <s v="NO"/>
    <s v="NO"/>
    <s v="SI"/>
    <s v="SI"/>
    <x v="1"/>
    <x v="1"/>
    <x v="7"/>
    <m/>
    <n v="726424800"/>
    <s v="NO"/>
    <m/>
  </r>
  <r>
    <x v="83"/>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27"/>
    <s v="LP-01 DEFENSA JUDICIAL, CARTERA, VIGILANCIA JUDICIAL,  PERITOS ESPECIALES,  PROCESOS ESPECIALES, ENTRE OTROS"/>
    <s v="1. Plan de Contratación"/>
    <s v="Gastos de personal"/>
    <s v="A-8-3-9-10-02"/>
    <s v="HONORARIOS JURIDICOS INCAUTADO"/>
    <s v="HONORARIOS JURIDICOS INCAUTADO"/>
    <x v="15"/>
    <n v="310"/>
    <x v="15"/>
    <n v="1108827576"/>
    <n v="80111600"/>
    <x v="78"/>
    <x v="3"/>
    <s v="MARZO"/>
    <n v="12"/>
    <s v="MESES"/>
    <x v="0"/>
    <s v="FRISCO"/>
    <n v="526204800"/>
    <n v="394653600"/>
    <s v="SI"/>
    <s v="NO SOLICITADAS"/>
    <s v="DIRECCIÓN DE ASUNTOS LEGALES MISIONALES"/>
    <s v="CO-DC-11001"/>
    <s v="ANYI SHARLYN MARÍN CAMARGO"/>
    <s v="7431444 Ext. 431"/>
    <s v="amarin@saesas.gov.co"/>
    <s v="NO"/>
    <s v="NO"/>
    <s v="NO"/>
    <s v="SI"/>
    <s v="SI"/>
    <x v="1"/>
    <x v="1"/>
    <x v="7"/>
    <m/>
    <n v="526204800"/>
    <s v="NO"/>
    <m/>
  </r>
  <r>
    <x v="84"/>
    <s v="Dimensión Financiera_ _x000a_Control financiero y administrativo de los recursos económicos de la sociedad y de los activos que administra."/>
    <s v="Garantizar la recuperación de cartera por procesos de cobro persuasivo y judicialización."/>
    <s v="2025LG127"/>
    <s v="LP-01 DEFENSA JUDICIAL, CARTERA, VIGILANCIA JUDICIAL,  PERITOS ESPECIALES,  PROCESOS ESPECIALES, ENTRE OTROS"/>
    <s v="1. Plan de Contratación"/>
    <s v="Gastos de personal"/>
    <s v="A-8-3-9-10-02"/>
    <s v="HONORARIOS JURIDICOS INCAUTADO"/>
    <s v="HONORARIOS JURIDICOS INCAUTADO"/>
    <x v="15"/>
    <n v="310"/>
    <x v="15"/>
    <n v="1108827576"/>
    <n v="80111600"/>
    <x v="79"/>
    <x v="1"/>
    <s v="FEBRERO"/>
    <n v="12"/>
    <s v="MESES"/>
    <x v="0"/>
    <s v="FRISCO"/>
    <n v="322995600"/>
    <n v="269163000"/>
    <s v="SI"/>
    <s v="NO SOLICITADAS"/>
    <s v="DIRECCIÓN DE ASUNTOS LEGALES MISIONALES"/>
    <s v="CO-DC-11001"/>
    <s v="ANYI SHARLYN MARÍN CAMARGO"/>
    <s v="7431444 Ext. 431"/>
    <s v="amarin@saesas.gov.co"/>
    <s v="NO"/>
    <s v="NO"/>
    <s v="NO"/>
    <s v="SI"/>
    <s v="SI"/>
    <x v="1"/>
    <x v="1"/>
    <x v="7"/>
    <m/>
    <n v="322995600"/>
    <s v="NO"/>
    <m/>
  </r>
  <r>
    <x v="85"/>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27"/>
    <s v="LP-01 DEFENSA JUDICIAL, CARTERA, VIGILANCIA JUDICIAL,  PERITOS ESPECIALES,  PROCESOS ESPECIALES, ENTRE OTROS"/>
    <s v="1. Plan de Contratación"/>
    <s v="Gastos de personal"/>
    <s v="A-8-3-9-10-02"/>
    <s v="HONORARIOS JURIDICOS INCAUTADO"/>
    <s v="HONORARIOS JURIDICOS INCAUTADO"/>
    <x v="15"/>
    <n v="310"/>
    <x v="15"/>
    <n v="1108827576"/>
    <n v="80111600"/>
    <x v="80"/>
    <x v="7"/>
    <s v="JUNIO"/>
    <n v="12"/>
    <s v="MESES"/>
    <x v="0"/>
    <s v="FRISCO"/>
    <n v="202368000"/>
    <n v="101184000"/>
    <s v="SI"/>
    <s v="NO SOLICITADAS"/>
    <s v="DIRECCIÓN DE ASUNTOS LEGALES MISIONALES"/>
    <s v="CO-DC-11001"/>
    <s v="ANYI SHARLYN MARÍN CAMARGO"/>
    <s v="7431444 Ext. 431"/>
    <s v="amarin@saesas.gov.co"/>
    <s v="NO"/>
    <s v="NO"/>
    <s v="NO"/>
    <s v="SI"/>
    <s v="SI"/>
    <x v="1"/>
    <x v="1"/>
    <x v="7"/>
    <m/>
    <n v="202368000"/>
    <s v="NO"/>
    <m/>
  </r>
  <r>
    <x v="86"/>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0"/>
    <s v="LP-01 HONORARIOS DE SERVICIOS PROFESIONALES PARA EL APOYO A LA GESTIÓN"/>
    <s v="1. Plan de Contratación"/>
    <s v="Gastos de personal"/>
    <s v="A-8-3-9-10-02"/>
    <s v="HONORARIOS JURIDICOS INCAUTADO"/>
    <s v="HONORARIOS JURIDICOS INCAUTADO"/>
    <x v="15"/>
    <n v="310"/>
    <x v="15"/>
    <n v="750000000"/>
    <n v="80111600"/>
    <x v="81"/>
    <x v="1"/>
    <s v="FEBRERO"/>
    <n v="11"/>
    <s v="MESES"/>
    <x v="0"/>
    <s v="FRISCO"/>
    <n v="320000000"/>
    <n v="320000000"/>
    <s v="NO"/>
    <s v="NO"/>
    <s v="DIRECCIÓN DE ASUNTOS LEGALES MISIONALES"/>
    <s v="CO-DC-11001"/>
    <s v="ANYI SHARLYN MARÍN CAMARGO"/>
    <s v="7431444 Ext. 431"/>
    <s v="amarin@saesas.gov.co"/>
    <s v="NO"/>
    <s v="NO"/>
    <s v="NO"/>
    <s v="SI"/>
    <s v="SI"/>
    <x v="1"/>
    <x v="1"/>
    <x v="7"/>
    <m/>
    <n v="320000000"/>
    <s v="NO"/>
    <m/>
  </r>
  <r>
    <x v="87"/>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0"/>
    <s v="LP-01 HONORARIOS DE SERVICIOS PROFESIONALES PARA EL APOYO A LA GESTIÓN"/>
    <s v="1. Plan de Contratación"/>
    <s v="Gastos de personal"/>
    <s v="A-8-3-9-10-02"/>
    <s v="HONORARIOS JURIDICOS INCAUTADO"/>
    <s v="HONORARIOS JURIDICOS INCAUTADO"/>
    <x v="15"/>
    <n v="310"/>
    <x v="15"/>
    <n v="750000000"/>
    <n v="80111600"/>
    <x v="82"/>
    <x v="1"/>
    <s v="FEBRERO"/>
    <n v="11"/>
    <s v="MESES"/>
    <x v="0"/>
    <s v="FRISCO"/>
    <n v="70466000"/>
    <n v="70466000"/>
    <s v="NO"/>
    <s v="NO"/>
    <s v="DIRECCIÓN DE ASUNTOS LEGALES MISIONALES"/>
    <s v="CO-DC-11001"/>
    <s v="ANYI SHARLYN MARÍN CAMARGO"/>
    <s v="7431444 Ext. 431"/>
    <s v="amarin@saesas.gov.co"/>
    <s v="NO"/>
    <s v="NO"/>
    <s v="NO"/>
    <s v="SI"/>
    <s v="SI"/>
    <x v="1"/>
    <x v="1"/>
    <x v="7"/>
    <m/>
    <n v="70466000"/>
    <s v="NO"/>
    <m/>
  </r>
  <r>
    <x v="88"/>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0"/>
    <s v="LP-01 HONORARIOS DE SERVICIOS PROFESIONALES PARA EL APOYO A LA GESTIÓN"/>
    <s v="1. Plan de Contratación"/>
    <s v="Gastos de personal"/>
    <s v="A-8-3-9-10-02"/>
    <s v="HONORARIOS JURIDICOS INCAUTADO"/>
    <s v="HONORARIOS JURIDICOS INCAUTADO"/>
    <x v="15"/>
    <n v="310"/>
    <x v="15"/>
    <n v="750000000"/>
    <n v="80111600"/>
    <x v="83"/>
    <x v="1"/>
    <s v="FEBRERO"/>
    <n v="11"/>
    <s v="MESES"/>
    <x v="0"/>
    <s v="FRISCO"/>
    <n v="70466000"/>
    <n v="70466000"/>
    <s v="NO"/>
    <s v="NO"/>
    <s v="DIRECCIÓN DE ASUNTOS LEGALES MISIONALES"/>
    <s v="CO-DC-11001"/>
    <s v="ANYI SHARLYN MARÍN CAMARGO"/>
    <s v="7431444 Ext. 431"/>
    <s v="amarin@saesas.gov.co"/>
    <s v="NO"/>
    <s v="NO"/>
    <s v="NO"/>
    <s v="SI"/>
    <s v="SI"/>
    <x v="1"/>
    <x v="1"/>
    <x v="7"/>
    <m/>
    <n v="70466000"/>
    <s v="NO"/>
    <m/>
  </r>
  <r>
    <x v="89"/>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0"/>
    <s v="LP-01 HONORARIOS DE SERVICIOS PROFESIONALES PARA EL APOYO A LA GESTIÓN"/>
    <s v="1. Plan de Contratación"/>
    <s v="Gastos de personal"/>
    <s v="A-8-3-9-10-02"/>
    <s v="HONORARIOS JURIDICOS INCAUTADO"/>
    <s v="HONORARIOS JURIDICOS INCAUTADO"/>
    <x v="15"/>
    <n v="310"/>
    <x v="15"/>
    <n v="750000000"/>
    <n v="80111600"/>
    <x v="84"/>
    <x v="1"/>
    <s v="FEBRERO"/>
    <n v="11"/>
    <s v="MESES"/>
    <x v="0"/>
    <s v="FRISCO"/>
    <n v="70466000"/>
    <n v="70466000"/>
    <s v="NO"/>
    <s v="NO"/>
    <s v="DIRECCIÓN DE ASUNTOS LEGALES MISIONALES"/>
    <s v="CO-DC-11001"/>
    <s v="ANYI SHARLYN MARÍN CAMARGO"/>
    <s v="7431444 Ext. 431"/>
    <s v="amarin@saesas.gov.co"/>
    <s v="NO"/>
    <s v="NO"/>
    <s v="NO"/>
    <s v="SI"/>
    <s v="SI"/>
    <x v="1"/>
    <x v="1"/>
    <x v="7"/>
    <m/>
    <n v="70466000"/>
    <s v="NO"/>
    <m/>
  </r>
  <r>
    <x v="90"/>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06"/>
    <s v="LP-01 HONORARIOS SERVICIOS PROFESIONALES PARA APOYO A LA GESTIÓN"/>
    <s v="1. Plan de Contratación"/>
    <s v="Gastos de personal"/>
    <s v="A-8-3-9-10-01"/>
    <s v="HONORARIOS VARIOS INCAUTADO"/>
    <s v="HONORARIOS VARIOS INCAUTADO"/>
    <x v="16"/>
    <n v="102"/>
    <x v="16"/>
    <n v="500000000"/>
    <n v="80111600"/>
    <x v="85"/>
    <x v="1"/>
    <s v="FEBRERO"/>
    <n v="11"/>
    <s v="MESES"/>
    <x v="0"/>
    <s v="FRISCO"/>
    <n v="70463250"/>
    <n v="70463250"/>
    <s v="NO"/>
    <s v="NO"/>
    <s v="GERENCIA DE DEPOSITARIOS, MANDATARIOS Y LIQUIDADORES"/>
    <s v="CO-DC-11001"/>
    <s v="KATHERINE LICETH PEREZ VARGAS"/>
    <s v="7431444 Ext. 431"/>
    <s v="kperez@saesas.gov.co"/>
    <s v="NO"/>
    <s v="NO"/>
    <s v="NO"/>
    <s v="SI"/>
    <s v="SI"/>
    <x v="1"/>
    <x v="1"/>
    <x v="7"/>
    <m/>
    <n v="70463250"/>
    <s v="NO"/>
    <m/>
  </r>
  <r>
    <x v="91"/>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06"/>
    <s v="LP-01 HONORARIOS SERVICIOS PROFESIONALES PARA APOYO A LA GESTIÓN"/>
    <s v="1. Plan de Contratación"/>
    <s v="Gastos de personal"/>
    <s v="A-8-3-9-10-01"/>
    <s v="HONORARIOS VARIOS INCAUTADO"/>
    <s v="HONORARIOS VARIOS INCAUTADO"/>
    <x v="16"/>
    <n v="102"/>
    <x v="16"/>
    <n v="500000000"/>
    <n v="80111600"/>
    <x v="86"/>
    <x v="1"/>
    <s v="FEBRERO"/>
    <n v="11"/>
    <s v="MESES"/>
    <x v="0"/>
    <s v="SAE"/>
    <n v="70463250"/>
    <n v="70463250"/>
    <s v="NO"/>
    <s v="NO"/>
    <s v="GERENCIA DE DEPOSITARIOS, MANDATARIOS Y LIQUIDADORES"/>
    <s v="CO-DC-11001"/>
    <s v="KATHERINE LICETH PEREZ VARGAS"/>
    <s v="7431444 Ext. 431"/>
    <s v="kperez@saesas.gov.co"/>
    <s v="NO"/>
    <s v="NO"/>
    <s v="NO"/>
    <s v="SI"/>
    <s v="SI"/>
    <x v="1"/>
    <x v="1"/>
    <x v="7"/>
    <m/>
    <n v="70463250"/>
    <s v="NO"/>
    <m/>
  </r>
  <r>
    <x v="92"/>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06"/>
    <s v="LP-01 HONORARIOS SERVICIOS PROFESIONALES PARA APOYO A LA GESTIÓN"/>
    <s v="1. Plan de Contratación"/>
    <s v="Gastos de personal"/>
    <s v="A-8-3-9-10-01"/>
    <s v="HONORARIOS VARIOS INCAUTADO"/>
    <s v="HONORARIOS VARIOS INCAUTADO"/>
    <x v="16"/>
    <n v="102"/>
    <x v="16"/>
    <n v="500000000"/>
    <n v="80111600"/>
    <x v="87"/>
    <x v="1"/>
    <s v="FEBRERO"/>
    <n v="11"/>
    <s v="MESES"/>
    <x v="0"/>
    <s v="SAE"/>
    <n v="70463250"/>
    <n v="70463250"/>
    <s v="NO"/>
    <s v="NO"/>
    <s v="GERENCIA DE DEPOSITARIOS, MANDATARIOS Y LIQUIDADORES"/>
    <s v="CO-DC-11001"/>
    <s v="KATHERINE LICETH PEREZ VARGAS"/>
    <s v="7431444 Ext. 431"/>
    <s v="kperez@saesas.gov.co"/>
    <s v="NO"/>
    <s v="NO"/>
    <s v="NO"/>
    <s v="SI"/>
    <s v="SI"/>
    <x v="1"/>
    <x v="1"/>
    <x v="7"/>
    <m/>
    <n v="70463250"/>
    <s v="NO"/>
    <m/>
  </r>
  <r>
    <x v="93"/>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06"/>
    <s v="LP-01 HONORARIOS SERVICIOS PROFESIONALES PARA APOYO A LA GESTIÓN"/>
    <s v="1. Plan de Contratación"/>
    <s v="Gastos de personal"/>
    <s v="A-8-3-9-10-01"/>
    <s v="HONORARIOS VARIOS INCAUTADO"/>
    <s v="HONORARIOS VARIOS INCAUTADO"/>
    <x v="16"/>
    <n v="102"/>
    <x v="16"/>
    <n v="500000000"/>
    <n v="80111600"/>
    <x v="88"/>
    <x v="1"/>
    <s v="FEBRERO"/>
    <n v="11"/>
    <s v="MESES"/>
    <x v="0"/>
    <s v="SAE"/>
    <n v="70463250"/>
    <n v="70463250"/>
    <s v="NO"/>
    <s v="NO"/>
    <s v="GERENCIA DE DEPOSITARIOS, MANDATARIOS Y LIQUIDADORES"/>
    <s v="CO-DC-11001"/>
    <s v="KATHERINE LICETH PEREZ VARGAS"/>
    <s v="7431444 Ext. 431"/>
    <s v="kperez@saesas.gov.co"/>
    <s v="NO"/>
    <s v="NO"/>
    <s v="NO"/>
    <s v="SI"/>
    <s v="SI"/>
    <x v="1"/>
    <x v="1"/>
    <x v="7"/>
    <m/>
    <n v="70463250"/>
    <s v="NO"/>
    <m/>
  </r>
  <r>
    <x v="94"/>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06"/>
    <s v="LP-01 HONORARIOS SERVICIOS PROFESIONALES PARA APOYO A LA GESTIÓN"/>
    <s v="1. Plan de Contratación"/>
    <s v="Gastos de personal"/>
    <s v="A-8-3-9-10-01"/>
    <s v="HONORARIOS VARIOS INCAUTADO"/>
    <s v="HONORARIOS VARIOS INCAUTADO"/>
    <x v="16"/>
    <n v="102"/>
    <x v="16"/>
    <n v="500000000"/>
    <n v="80111600"/>
    <x v="89"/>
    <x v="1"/>
    <s v="FEBRERO"/>
    <n v="11"/>
    <s v="MESES"/>
    <x v="0"/>
    <s v="SAE"/>
    <n v="70463250"/>
    <n v="70463250"/>
    <s v="NO"/>
    <s v="NO"/>
    <s v="GERENCIA DE DEPOSITARIOS, MANDATARIOS Y LIQUIDADORES"/>
    <s v="CO-DC-11001"/>
    <s v="KATHERINE LICETH PEREZ VARGAS"/>
    <s v="7431444 Ext. 431"/>
    <s v="kperez@saesas.gov.co"/>
    <s v="NO"/>
    <s v="NO"/>
    <s v="NO"/>
    <s v="SI"/>
    <s v="SI"/>
    <x v="1"/>
    <x v="1"/>
    <x v="7"/>
    <m/>
    <n v="70463250"/>
    <s v="NO"/>
    <m/>
  </r>
  <r>
    <x v="95"/>
    <s v="Dimensión de Grupos de Interés__x000a__x000a_Fomento y fortalecimiento de alianzas público populares y comunitarios"/>
    <s v="Garantizar el acceso a la información pública, la participación ciudadana y el diálogo social entre la SAE y poblaciones constitucionalmente protegidas y demás grupos de interés, con principios de inclusión, transparencia, calidad y consistencia."/>
    <s v="2025LG006"/>
    <s v="LP-01 HONORARIOS SERVICIOS PROFESIONALES PARA APOYO A LA GESTIÓN"/>
    <s v="1. Plan de Contratación"/>
    <s v="Gastos de personal"/>
    <s v="A-8-3-9-10-01"/>
    <s v="HONORARIOS VARIOS INCAUTADO"/>
    <s v="HONORARIOS VARIOS INCAUTADO"/>
    <x v="16"/>
    <n v="102"/>
    <x v="16"/>
    <n v="500000000"/>
    <n v="80111600"/>
    <x v="90"/>
    <x v="1"/>
    <s v="FEBRERO"/>
    <n v="11"/>
    <s v="MESES"/>
    <x v="0"/>
    <s v="SAE"/>
    <n v="70463250"/>
    <n v="70463250"/>
    <s v="NO"/>
    <s v="NO"/>
    <s v="GERENCIA DE DEPOSITARIOS, MANDATARIOS Y LIQUIDADORES"/>
    <s v="CO-DC-11001"/>
    <s v="KATHERINE LICETH PEREZ VARGAS"/>
    <s v="7431444 Ext. 431"/>
    <s v="kperez@saesas.gov.co"/>
    <s v="NO"/>
    <s v="NO"/>
    <s v="NO"/>
    <s v="SI"/>
    <s v="SI"/>
    <x v="1"/>
    <x v="1"/>
    <x v="7"/>
    <m/>
    <n v="70463250"/>
    <s v="NO"/>
    <m/>
  </r>
  <r>
    <x v="96"/>
    <s v="Dimensión de Grupos de Interés__x000a__x000a_Fomento y fortalecimiento de alianzas público populares y comunitarios"/>
    <s v="Garantizar el acceso a la información pública, la participación ciudadana y el diálogo social entre la SAE y poblaciones constitucionalmente protegidas y demás grupos de interés, con principios de inclusión, transparencia, calidad y consistencia."/>
    <s v="2025LG006"/>
    <s v="LP-01 HONORARIOS SERVICIOS PROFESIONALES PARA APOYO A LA GESTIÓN"/>
    <s v="1. Plan de Contratación"/>
    <s v="Gastos de personal"/>
    <s v="A-8-3-9-10-01"/>
    <s v="HONORARIOS VARIOS INCAUTADO"/>
    <s v="HONORARIOS VARIOS INCAUTADO"/>
    <x v="16"/>
    <n v="102"/>
    <x v="16"/>
    <n v="500000000"/>
    <n v="80111600"/>
    <x v="91"/>
    <x v="1"/>
    <s v="FEBRERO"/>
    <n v="11"/>
    <s v="MESES"/>
    <x v="0"/>
    <s v="SAE"/>
    <n v="70463250"/>
    <n v="70463250"/>
    <s v="NO"/>
    <s v="NO"/>
    <s v="GERENCIA DE DEPOSITARIOS, MANDATARIOS Y LIQUIDADORES"/>
    <s v="CO-DC-11001"/>
    <s v="KATHERINE LICETH PEREZ VARGAS"/>
    <s v="7431444 Ext. 431"/>
    <s v="kperez@saesas.gov.co"/>
    <s v="NO"/>
    <s v="NO"/>
    <s v="NO"/>
    <s v="SI"/>
    <s v="SI"/>
    <x v="1"/>
    <x v="1"/>
    <x v="7"/>
    <m/>
    <n v="70463250"/>
    <s v="NO"/>
    <m/>
  </r>
  <r>
    <x v="97"/>
    <s v="Dimensión de Grupos de Interés__x000a__x000a_Fomento y fortalecimiento de alianzas público populares y comunitarios"/>
    <s v="Garantizar el acceso a la información pública, la participación ciudadana y el diálogo social entre la SAE y poblaciones constitucionalmente protegidas y demás grupos de interés, con principios de inclusión, transparencia, calidad y consistencia."/>
    <s v="2025LG002; 2025LG003; 2025LG004;2025LG005; 2025LG038; 2025LG051; 2025LG064; 2025LG083"/>
    <s v="LP-05 OPERADOR LOGÍSTICO CENTRO ORIENTE - ADMINISTRACIÓN, DESALOJOS, VISITAS, ENTRE OTROS DE BIENES_x000a_LP-05 OPERADOR LOGÍSTICO SUR - ADMINISTRACIÓN, DESALOJOS, VISITAS, ENTRE OTROS DE BIENES_x000a_LP-05 OPERADOR LOGÍSTICO CARIBE_x000a_LP-05 OPERADOR LOGÍSTICO OCCIDENTE - ADMINISTRACIÓN, DESALOJOS, VISITAS, ENTRE OTROS DE BIENES"/>
    <s v="1. Plan de Contratación"/>
    <s v="GASTOS OPERACIONALES"/>
    <s v="A-8-3-9-08-01"/>
    <s v="OTROS GASTOS INCAUTADO"/>
    <s v="OTROS GASTOS INCAUTADO"/>
    <x v="17"/>
    <n v="101"/>
    <x v="17"/>
    <n v="13265105716"/>
    <n v="80141600"/>
    <x v="92"/>
    <x v="1"/>
    <s v="MARZO "/>
    <n v="11"/>
    <s v="MESES"/>
    <x v="4"/>
    <s v="FRISCO "/>
    <n v="12100000000"/>
    <n v="7700000000"/>
    <s v="SI"/>
    <s v="SIN TRÁMITE"/>
    <s v="VICEPRESIDENCIA OPERATIVA / DIRECCIONES TERRITORIALES / DIRECCIÓN DE CONTROL DE INVENTARIO"/>
    <s v="CO-DC-11001"/>
    <s v="ANYI SHARLYN MARIN CAMARGO"/>
    <s v="7431444 Ext. 431"/>
    <s v="amarin@saesas.gov.co"/>
    <s v="NO"/>
    <s v="NO"/>
    <s v="NO"/>
    <s v="SI"/>
    <s v="SI"/>
    <x v="1"/>
    <x v="1"/>
    <x v="7"/>
    <m/>
    <n v="12100000000"/>
    <s v="153-2024_x000a_154-2024_x000a_155-2024"/>
    <s v="20/05/2025_x000a_20/05/2025_x000a_15/05/2025"/>
  </r>
  <r>
    <x v="98"/>
    <s v="Dimesión Productiva, Social y Ambiental_ _x000a__x000a_Destinación de activos al fomento a la economía populoar."/>
    <s v="Democratizar los activos administrados por la SAE a través de mecanismos de dispodición temporal y definitiva que permitan la creación de valor publico, social y ambiental; aporten al desarrollo territorial y productivo y garanticen la función social y ecologixa de la propiedad."/>
    <s v="2025LG160;2025LG161"/>
    <s v="LP-01 REALIZACIÓN AVALÚOS EN PROCESO;LP-01 REALIZACIÓN AVALÚOS EXTINTOS"/>
    <s v="1. Plan de Contratación"/>
    <s v="GASTOS GENERALES_x000a__x000a_GASTOS DE OPERACIÓN "/>
    <s v="A-8-3-9-10-03;A-1-0-2-12-03"/>
    <s v="REALIZACIÓN AVALÚOS EN PROCESO; REALIZACIÓN AVALÚOS EXTINTOS"/>
    <s v="HONORARIOS AVALUOS INCAUTADO;HONORARIOS AVALUOS EXTINTO"/>
    <x v="18"/>
    <n v="440"/>
    <x v="18"/>
    <n v="12400000000"/>
    <n v="80131800"/>
    <x v="93"/>
    <x v="1"/>
    <s v="FEBRERO"/>
    <n v="12"/>
    <s v="MESES"/>
    <x v="4"/>
    <s v="FRISCO"/>
    <n v="8300000000"/>
    <n v="8300000000"/>
    <s v="NO"/>
    <s v="NO"/>
    <s v="DIRECCIÓN DE ANALÍTICA, ALISTAMIENTO Y VALORACIÓN"/>
    <s v="CO-DC-11001"/>
    <s v="ANYI SHARLYN MARIN CAMARGO"/>
    <s v="7431444 Ext. 431"/>
    <s v="amarin@saesas.gov.co"/>
    <s v="NO"/>
    <s v="NO"/>
    <s v="NO"/>
    <s v="SI"/>
    <s v="SI"/>
    <x v="1"/>
    <x v="1"/>
    <x v="7"/>
    <m/>
    <n v="8300000000"/>
    <s v="NO"/>
    <m/>
  </r>
  <r>
    <x v="99"/>
    <s v="Dimensión de Grupos de Interés__x000a__x000a_Fomento y fortalecimiento de alianzas público populares y comunitarios"/>
    <s v="Promover la creación de alianzas público populares, comunitarias, cooperativas, corporativas y de cooperación internacional, que permitan el uso y el goce de bienes y servicios de la SAE por parte de sus grupos de interés, así como su fortalecimiento institucional."/>
    <s v="2025LG162;2025LG163"/>
    <s v="LP-34 SANEAMIENTOS Y LEVANTAMIENTOS TOPOGRAFIA EN PROCESO;LP-34 SANEAMIENTOS Y LEVANTAMIENTOS TOPOGRAFIA EXTINTOS"/>
    <s v="1. Plan de Contratación"/>
    <s v="GASTOS GENERALES_x000a__x000a_GASTOS DE OPERACIÓN "/>
    <s v="A-8-3-9-10-01;A-1-0-2-12-01"/>
    <s v="SANEAMIENTOS Y LEVANTAMIENTOS TOPOGRAFIA EN PROCESO;SANEAMIENTOS Y LEVANTAMIENTOS TOPOGRAFIA EXTINTOS"/>
    <s v="HONORARIOS VARIOS INCAUTADO;HONORARIOS ADMINISTRATIVOS EXTINTO"/>
    <x v="18"/>
    <n v="440"/>
    <x v="18"/>
    <n v="2420000000"/>
    <s v="80131700; 80131800; 80161600; 81101500"/>
    <x v="94"/>
    <x v="1"/>
    <s v="FEBRERO"/>
    <n v="12"/>
    <s v="MESES"/>
    <x v="4"/>
    <s v="FRISCO"/>
    <n v="2300000000"/>
    <n v="2300000000"/>
    <s v="NO"/>
    <s v="NO"/>
    <s v="DIRECCIÓN DE ANALÍTICA, ALISTAMIENTO Y VALORACIÓN"/>
    <s v="CO-DC-11001"/>
    <s v="ANYI SHARLYN MARIN CAMARGO"/>
    <s v="7431444 Ext. 431"/>
    <s v="amarin@saesas.gov.co"/>
    <s v="NO"/>
    <s v="NO"/>
    <s v="NO"/>
    <s v="SI"/>
    <s v="SI"/>
    <x v="1"/>
    <x v="1"/>
    <x v="7"/>
    <m/>
    <n v="2300000000"/>
    <s v="NO"/>
    <m/>
  </r>
  <r>
    <x v="100"/>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64;2025LG165"/>
    <s v="LP-25 ROM (REPARACIONES, OBRAS Y MANTENIMIENTO INCLUIDAS LAS DEMOLICIONES) EXTINTOS;LP-25 ROM (REPARACIONES, OBRAS Y MANTENIMIENTO INCLUIDAS LAS DEMOLICIONES) EN PROCESO"/>
    <s v="1. Plan de Contratación"/>
    <s v="GASTOS GENERALES_x000a__x000a_GASTOS DE OPERACIÓN "/>
    <s v="A-2-0-4-05-01;A-8-3-9-07-02"/>
    <s v="ROM (REPARACIONES, OBRAS Y MANTENIMIENTO INCLUIDAS LAS DEMOLICIONES) EXTINTOS;ROM (REPARACIONES, OBRAS Y MANTENIMIENTO INCLUIDAS LAS DEMOLICIONES) EN PROCESO"/>
    <s v="MANTENIMIENTO DE BIENES INMUEBLES EXTINTO;ROM  Y DEMOLICIONES INCAUTADO"/>
    <x v="18"/>
    <n v="440"/>
    <x v="18"/>
    <n v="2307220177"/>
    <s v="80131700;81101508"/>
    <x v="95"/>
    <x v="3"/>
    <s v="ABRIL"/>
    <n v="12"/>
    <s v="MESES"/>
    <x v="4"/>
    <s v="FRISCO"/>
    <n v="1450000000"/>
    <n v="1450000000"/>
    <s v="NO"/>
    <s v="NO"/>
    <s v="DIRECCIÓN DE ANALÍTICA, ALISTAMIENTO Y VALORACIÓN"/>
    <s v="CO-DC-11001"/>
    <s v="ANYI SHARLYN MARIN CAMARGO"/>
    <s v="7431444 Ext. 431"/>
    <s v="amarin@saesas.gov.co"/>
    <s v="NO"/>
    <s v="NO"/>
    <s v="NO"/>
    <s v="SI"/>
    <s v="SI"/>
    <x v="1"/>
    <x v="1"/>
    <x v="7"/>
    <m/>
    <n v="1450000000"/>
    <s v="103-2024_x000a_104-2024_x000a_105-2024_x000a_106-2024_x000a_107-2024_x000a_108-2024_x000a_195-2024"/>
    <s v="25/09/2025_x000a_25/09/2025_x000a_19/09/2025_x000a_20/09/2025_x000a_23/09/2025_x000a_24/09/2025_x000a_08/12/2027"/>
  </r>
  <r>
    <x v="101"/>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43"/>
    <s v="LP-26 ADMINSITRACIÓN Y DISPOSICIÓN FINAL DE SUSTANCIAS"/>
    <s v="1. Plan de Contratación"/>
    <s v="GASTOS GENERALES_x000a__x000a_GASTOS DE OPERACIÓN "/>
    <s v="A-2-0-4-41-13;A-8-3-9-08-01"/>
    <s v="ADMINSITRACIÓN Y DISPOSICIÓN FINAL DE SUSTANCIAS"/>
    <s v="ADMINSITRACIÓN Y DISPOSICIÓN FINAL DE SUSTANCIAS"/>
    <x v="19"/>
    <n v="430"/>
    <x v="19"/>
    <n v="100000000"/>
    <s v="7613160;76131600;77111505;77131701;80101708;80110000;20102303;22101527"/>
    <x v="96"/>
    <x v="1"/>
    <s v="FEBRERO"/>
    <n v="9"/>
    <s v="MESES"/>
    <x v="4"/>
    <s v="FRISCO "/>
    <n v="100000000"/>
    <n v="100000000"/>
    <s v="NO"/>
    <s v="NO"/>
    <s v="DIRECCION DEMOCRATIZACION ACTIVOS MUEBLES "/>
    <s v="CO-DC-11001"/>
    <s v="JOSE IGNACIO ALEMAN BUITRAGO"/>
    <s v="7431444 ext 213"/>
    <s v="JALEMAN@SAESAS.GOV.CO"/>
    <s v="NO"/>
    <s v="NO"/>
    <s v="NO"/>
    <s v="SI"/>
    <s v="SI"/>
    <x v="1"/>
    <x v="1"/>
    <x v="7"/>
    <m/>
    <n v="100000000"/>
    <s v="NO"/>
    <m/>
  </r>
  <r>
    <x v="102"/>
    <s v="Dimensión Productiva, Social y Ambiental_ _x000a_Destinación de activos al fomento a la economía popular."/>
    <s v="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
    <s v="N/A"/>
    <s v="N/A"/>
    <s v="1. Plan de Contratación"/>
    <s v="N/A"/>
    <s v="N/A"/>
    <s v="N/A"/>
    <s v="N/A"/>
    <x v="19"/>
    <n v="430"/>
    <x v="19"/>
    <n v="0"/>
    <s v="11191600;31132000"/>
    <x v="97"/>
    <x v="3"/>
    <s v="MARZO "/>
    <n v="9"/>
    <s v="MESES"/>
    <x v="3"/>
    <s v="FRISCO "/>
    <n v="0"/>
    <n v="0"/>
    <s v="NO"/>
    <s v="NO"/>
    <s v="DIRECCION DEMOCRATIZACION ACTIVOS MUEBLES "/>
    <s v="CO-DC-11001"/>
    <s v="JOSE IGNACIO ALEMAN BUITRAGO"/>
    <s v="7431444 ext 213"/>
    <s v="JALEMAN@SAESAS.GOV.CO"/>
    <s v="NO"/>
    <s v="NO"/>
    <s v="NO"/>
    <s v="SI"/>
    <s v="SI"/>
    <x v="1"/>
    <x v="1"/>
    <x v="7"/>
    <m/>
    <n v="0"/>
    <s v="NO"/>
    <m/>
  </r>
  <r>
    <x v="103"/>
    <s v="Dimensión Productiva, Social y Ambiental_ _x000a_Destinación de activos al fomento a la economía popular."/>
    <s v="Fomentar las economías populares y comunitarias a partir de proyectos estratégicos que generen valor público, social y ambiental."/>
    <s v=" 2025LG156_x000a_2025LG155"/>
    <s v=" LP-NA MEDIDAS DE COMPENSACIONCON CORALINA"/>
    <s v="1. Plan de Contratación"/>
    <s v="GASTOS GENERALES_x000a__x000a_GASTOS DE OPERACIÓN "/>
    <s v="A-8-3-9-18-01;A-2-0-4-15-01"/>
    <s v="SENTENCIAS Y/O CONCILIACIONES EXTINTO"/>
    <s v="GASTOS OPERACIONALES "/>
    <x v="19"/>
    <n v="430"/>
    <x v="19"/>
    <n v="746791936"/>
    <n v="25172700"/>
    <x v="98"/>
    <x v="2"/>
    <s v="ABRIL"/>
    <n v="8"/>
    <s v="MESES"/>
    <x v="4"/>
    <s v="FRISCO "/>
    <n v="750000000"/>
    <n v="750000000"/>
    <s v="NO"/>
    <s v="NO"/>
    <s v="DIRECCION DEMOCRATIZACION ACTIVOS MUEBLES "/>
    <s v="CO-DC-11001"/>
    <s v="JOSE IGNACIO ALEMAN BUITRAGO"/>
    <s v="7431444 ext 213"/>
    <s v="JALEMAN@SAESAS.GOV.CO"/>
    <s v="NO"/>
    <s v="NO"/>
    <s v="NO"/>
    <s v="SI"/>
    <s v="SI"/>
    <x v="1"/>
    <x v="1"/>
    <x v="7"/>
    <m/>
    <n v="750000000"/>
    <s v="NO"/>
    <m/>
  </r>
  <r>
    <x v="104"/>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86"/>
    <s v="LP APOYO A LA GESTIÓN DE LOS PROCESOS DE LA VC"/>
    <s v="1. Plan de Contratación"/>
    <s v="GASTOS OPERACIONALES "/>
    <s v="A-8-3-9-10-01"/>
    <s v="HONORARIOS VARIOS INCAUTADO"/>
    <s v="APOYO A LA GESTIÓN DE LOS PROCESOS DE LA VC"/>
    <x v="20"/>
    <n v="200"/>
    <x v="20"/>
    <n v="288000000"/>
    <n v="80111600"/>
    <x v="99"/>
    <x v="1"/>
    <s v="FEBRERO"/>
    <n v="180"/>
    <s v="DIAS "/>
    <x v="0"/>
    <s v="FRISCO"/>
    <n v="54600000"/>
    <n v="54600000"/>
    <s v="NO"/>
    <s v="NO"/>
    <s v="VICEPRESIDENCIA CORPORATIVA"/>
    <s v="CO-DC-11001"/>
    <s v="AURA ELVIRA GOMEZ MARTINEZ"/>
    <n v="6017431444"/>
    <s v="augomez@saesas.gov.co"/>
    <s v="NO"/>
    <s v="NO"/>
    <s v="NO"/>
    <s v="NO"/>
    <s v="SI"/>
    <x v="0"/>
    <x v="0"/>
    <x v="25"/>
    <n v="54600000"/>
    <n v="0"/>
    <s v="009-2025"/>
    <d v="2025-08-27T00:00:00"/>
  </r>
  <r>
    <x v="105"/>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86"/>
    <s v="LP APOYO A LA GESTIÓN DE LOS PROCESOS DE LA VC"/>
    <s v="1. Plan de Contratación"/>
    <s v="GASTOS OPERACIONALES "/>
    <s v="A-8-3-9-10-01"/>
    <s v="HONORARIOS VARIOS INCAUTADO"/>
    <s v="APOYO A LA GESTIÓN DE LOS PROCESOS DE LA VC"/>
    <x v="20"/>
    <n v="200"/>
    <x v="20"/>
    <n v="288000000"/>
    <n v="80111600"/>
    <x v="45"/>
    <x v="1"/>
    <s v="FEBRERO"/>
    <n v="180"/>
    <s v="DIAS "/>
    <x v="0"/>
    <s v="FRISCO"/>
    <n v="54600000"/>
    <n v="54600000"/>
    <s v="NO"/>
    <s v="NO"/>
    <s v="VICEPRESIDENCIA CORPORATIVA"/>
    <s v="CO-DC-11001"/>
    <s v="AURA ELVIRA GOMEZ MARTINEZ"/>
    <n v="6017431444"/>
    <s v="augomez@saesas.gov.co"/>
    <s v="NO"/>
    <s v="NO"/>
    <s v="NO"/>
    <s v="NO"/>
    <s v="SI"/>
    <x v="0"/>
    <x v="0"/>
    <x v="26"/>
    <n v="54600000"/>
    <n v="0"/>
    <s v="010-2025"/>
    <d v="2025-08-27T00:00:00"/>
  </r>
  <r>
    <x v="106"/>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86"/>
    <s v="LP APOYO A LA GESTIÓN DE LOS PROCESOS DE LA VC"/>
    <s v="1. Plan de Contratación"/>
    <s v="GASTOS OPERACIONALES "/>
    <s v="A-8-3-9-10-01"/>
    <s v="HONORARIOS VARIOS INCAUTADO"/>
    <s v="APOYO A LA GESTIÓN DE LOS PROCESOS DE LA VC"/>
    <x v="20"/>
    <n v="200"/>
    <x v="20"/>
    <n v="288000000"/>
    <n v="80111600"/>
    <x v="100"/>
    <x v="1"/>
    <s v="FEBRERO"/>
    <n v="6"/>
    <s v="MESES"/>
    <x v="0"/>
    <s v="FRISCO"/>
    <n v="54600000"/>
    <n v="54600000"/>
    <s v="NO"/>
    <s v="NO"/>
    <s v="VICEPRESIDENCIA CORPORATIVA"/>
    <s v="CO-DC-11001"/>
    <s v="AURA ELVIRA GOMEZ MARTINEZ"/>
    <n v="6017431444"/>
    <s v="augomez@saesas.gov.co"/>
    <s v="NO"/>
    <s v="NO"/>
    <s v="NO"/>
    <s v="NO"/>
    <s v="SI"/>
    <x v="0"/>
    <x v="0"/>
    <x v="27"/>
    <n v="54600000"/>
    <n v="0"/>
    <s v="008-2025"/>
    <d v="2025-08-18T00:00:00"/>
  </r>
  <r>
    <x v="107"/>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86"/>
    <s v="LP APOYO A LA GESTIÓN DE LOS PROCESOS DE LA VC"/>
    <s v="1. Plan de Contratación"/>
    <s v="GASTOS OPERACIONALES "/>
    <s v="A-8-3-9-10-01"/>
    <s v="HONORARIOS VARIOS INCAUTADO"/>
    <s v="APOYO A LA GESTIÓN DE LOS PROCESOS DE LA VC"/>
    <x v="20"/>
    <n v="200"/>
    <x v="20"/>
    <n v="288000000"/>
    <n v="80111600"/>
    <x v="101"/>
    <x v="3"/>
    <s v="MARZO"/>
    <n v="2"/>
    <s v="MESES"/>
    <x v="0"/>
    <s v="FRISCO"/>
    <n v="44000000"/>
    <n v="44000000"/>
    <s v="NO"/>
    <s v="NO"/>
    <s v="VICEPRESIDENCIA CORPORATIVA"/>
    <s v="CO-DC-11001"/>
    <s v="AURA ELVIRA GOMEZ MARTINEZ"/>
    <n v="6017431444"/>
    <s v="augomez@saesas.gov.co"/>
    <s v="NO"/>
    <s v="NO"/>
    <s v="NO"/>
    <s v="SI"/>
    <s v="NO"/>
    <x v="0"/>
    <x v="0"/>
    <x v="28"/>
    <n v="50818950"/>
    <n v="-6818950"/>
    <s v="016-2025"/>
    <d v="2025-05-19T00:00:00"/>
  </r>
  <r>
    <x v="108"/>
    <s v="Dimensión de Grupos de Interés__x000a__x000a_Fomento y fortalecimiento de alianzas público populares y comunitari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91"/>
    <s v="LP-23 PAZ ADMINISTRACIÓN _x000a_PORTAFOLIO (PAT)"/>
    <s v="1. Plan de Contratación"/>
    <s v="SAE"/>
    <s v="A-2-0-4-22-03"/>
    <s v="ADMINISTRACIÓN DE _x000a_PORTAFOLIO"/>
    <s v="ADMINISTRACIÓN DE _x000a_PORTAFOLIO"/>
    <x v="21"/>
    <n v="103"/>
    <x v="21"/>
    <n v="633394976"/>
    <s v="93151605 - 93151501  - 93121705"/>
    <x v="102"/>
    <x v="3"/>
    <s v="MARZO"/>
    <n v="12"/>
    <s v="MESES"/>
    <x v="1"/>
    <s v="PAZ"/>
    <n v="45170124"/>
    <n v="37052633"/>
    <n v="1"/>
    <n v="1"/>
    <s v="DIRECCIÓN DE PROYECTOS"/>
    <s v="CO-DC-11001"/>
    <s v="JAIRO ANDRES RIVERA HENKER"/>
    <s v="601 7431444"/>
    <s v="jarivera@saesas.gov.co"/>
    <s v="SI"/>
    <s v="NO"/>
    <s v="NO"/>
    <s v="SI"/>
    <s v="NO"/>
    <x v="1"/>
    <x v="1"/>
    <x v="7"/>
    <m/>
    <n v="45170124"/>
    <s v="NO"/>
    <m/>
  </r>
  <r>
    <x v="109"/>
    <s v="Dimensión de Grupos de Interés__x000a__x000a_Fomento y fortalecimiento de alianzas público populares y comunitari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83"/>
    <s v="LP-01 PAZ HONORARIOS AVALÚO _x000a_DE BIENES"/>
    <s v="1. Plan de Contratación"/>
    <s v="SAE"/>
    <s v="A-1-0-2-12-03"/>
    <s v="HONORARIOS AVALUOS"/>
    <s v="HONORARIOS VARIOS INCAUTADO"/>
    <x v="21"/>
    <n v="103"/>
    <x v="21"/>
    <n v="29950000"/>
    <s v="80141501 -80111701 - 80161602_x000a_ "/>
    <x v="103"/>
    <x v="3"/>
    <s v="MARZO"/>
    <n v="4"/>
    <s v="MESES"/>
    <x v="1"/>
    <s v="PAZ"/>
    <n v="29950000"/>
    <n v="29950000"/>
    <s v="NO"/>
    <s v="NO"/>
    <s v="DIRECCIÓN DE PROYECTOS"/>
    <s v="CO-DC-11001"/>
    <s v="JAIRO ANDRES RIVERA HENKER"/>
    <s v="601 7431444"/>
    <s v="jarivera@saesas.gov.co"/>
    <s v="SI"/>
    <s v="NO"/>
    <s v="NO"/>
    <s v="SI"/>
    <s v="NO"/>
    <x v="1"/>
    <x v="1"/>
    <x v="7"/>
    <m/>
    <n v="29950000"/>
    <s v="NO"/>
    <m/>
  </r>
  <r>
    <x v="110"/>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8"/>
    <s v="LP-01 SERVICIOS PARA APOYO A LA GESTIÓN"/>
    <s v="1. Plan de Contratación"/>
    <s v="GASTOS OPERACIONALES"/>
    <s v="A-8-3-9-10-01"/>
    <s v="HONORARIOS VARIOS INCAUTADO"/>
    <s v="HONORARIOS VARIOS INCAUTADO"/>
    <x v="2"/>
    <n v="410"/>
    <x v="2"/>
    <n v="682400000"/>
    <n v="80111600"/>
    <x v="104"/>
    <x v="3"/>
    <s v="ABRIL"/>
    <n v="9"/>
    <s v="MESES"/>
    <x v="0"/>
    <s v="FRISCO"/>
    <n v="62100000"/>
    <n v="62100000"/>
    <s v="NO"/>
    <s v="NO"/>
    <s v="DIRECCIÓN PARA LA DEMOCRATIZACIÓN DE ACTIVOS INMUEBLES RURALES"/>
    <s v="CO-DC-11001"/>
    <s v="OMAR PINZON FLOREZ "/>
    <n v="7431444"/>
    <s v="opinzon@saesas.gov.co"/>
    <s v="NO"/>
    <s v="NO"/>
    <s v="NO"/>
    <s v="SI"/>
    <s v="NO"/>
    <x v="0"/>
    <x v="1"/>
    <x v="7"/>
    <m/>
    <n v="62100000"/>
    <s v="DEVUELTO PARA CORRECCIONES"/>
    <m/>
  </r>
  <r>
    <x v="111"/>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8"/>
    <s v="LP-01 SERVICIOS PARA APOYO A LA GESTIÓN"/>
    <s v="1. Plan de Contratación"/>
    <s v="GASTOS OPERACIONALES"/>
    <s v="A-8-3-9-10-01"/>
    <s v="HONORARIOS VARIOS INCAUTADO"/>
    <s v="HONORARIOS VARIOS INCAUTADO"/>
    <x v="2"/>
    <n v="410"/>
    <x v="2"/>
    <n v="682400000"/>
    <n v="80111600"/>
    <x v="105"/>
    <x v="3"/>
    <s v="ABRIL"/>
    <n v="9"/>
    <s v="MESES"/>
    <x v="0"/>
    <s v="FRISCO"/>
    <n v="90000000"/>
    <n v="90000000"/>
    <s v="NO"/>
    <s v="NO"/>
    <s v="DIRECCIÓN PARA LA DEMOCRATIZACIÓN DE ACTIVOS INMUEBLES RURALES"/>
    <s v="CO-DC-11001"/>
    <s v="OMAR PINZON FLOREZ "/>
    <n v="7431444"/>
    <s v="opinzon@saesas.gov.co"/>
    <s v="NO"/>
    <s v="NO"/>
    <s v="NO"/>
    <s v="SI"/>
    <s v="NO"/>
    <x v="0"/>
    <x v="1"/>
    <x v="7"/>
    <m/>
    <n v="90000000"/>
    <s v="DEVUELTO PARA CORRECCIONES"/>
    <m/>
  </r>
  <r>
    <x v="112"/>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3"/>
    <s v="LP-01 HONORARIOS SERVICIOS PROFESIONALES ESPECIALIZADOS PARA APOYAR A LA VICEPRESIDENCIA DE BIENES MUEBLES E INMUEBLES DE LA SAE EN LAS GESTIONES QUE SE DEBAN ADOPTAR EN EL MARCO DE LAS FUNCIONES DE LA VICEPRESIDENCIA"/>
    <s v="1. Plan de Contratación"/>
    <s v="GASTOS DE PERSONAL "/>
    <s v="A-1-0-2-12-01"/>
    <s v="HONORARIOS ADMINISTRATIVOS EXTINTO"/>
    <s v="HONORARIOS ADMINISTRATIVOS EXTINTO"/>
    <x v="13"/>
    <n v="400"/>
    <x v="13"/>
    <n v="388000000"/>
    <n v="80111600"/>
    <x v="106"/>
    <x v="3"/>
    <s v="ABRIL"/>
    <n v="9"/>
    <s v="MESES"/>
    <x v="0"/>
    <s v="FRISCO"/>
    <n v="81000000"/>
    <n v="81000000"/>
    <s v="NO"/>
    <s v="NO"/>
    <s v="VICEPRESIDENCIA DE ACTIVOS MUEBLES E INMUEBLES"/>
    <s v="CO-DC-11001"/>
    <s v="OMAR PINZON FLOREZ "/>
    <n v="6017431444"/>
    <s v="opinzon@saesas.gov.co"/>
    <s v="NO"/>
    <s v="NO"/>
    <s v="NO"/>
    <s v="SI"/>
    <s v="NO"/>
    <x v="1"/>
    <x v="1"/>
    <x v="7"/>
    <m/>
    <n v="81000000"/>
    <m/>
    <m/>
  </r>
  <r>
    <x v="113"/>
    <s v="Dimensión de Grupos de Interés__x000a__x000a_Fomento y fortalecimiento de alianzas público populares y comunitarios"/>
    <s v="Promover la creación de alianzas público populares, comunitarias, cooperativas, corporativas y de cooperación internacional, que permitan el uso y el goce de bienes y servicios de la SAE por parte de sus grupos de interés, así como su fortalecimiento institucional."/>
    <s v="2025LG140"/>
    <s v="LP-01 HONORARIOS Y ASESORIA APOYO"/>
    <s v="1. Plan de Contratación"/>
    <s v="GASTOS DE PERSONAL "/>
    <s v="A-1-0-2-12-01"/>
    <s v="HONORARIOS ADMINISTRATIVOS EXTINTO"/>
    <s v="HONORARIOS ADMINISTRATIVOS EXTINTO"/>
    <x v="3"/>
    <n v="420"/>
    <x v="3"/>
    <n v="403500000"/>
    <n v="80111600"/>
    <x v="107"/>
    <x v="3"/>
    <s v="ABRIL"/>
    <n v="9"/>
    <s v="MESES"/>
    <x v="0"/>
    <s v="FRISCO "/>
    <n v="90000000"/>
    <n v="90000000"/>
    <s v="NO"/>
    <s v="NO"/>
    <s v="DIRECCCIÓN PARA LA DEMOCRATIZACIÓN DE ACTIVOS INMUEBLES URBANOS"/>
    <s v="CO-DC-11001"/>
    <s v="MARIA CATALINA SERRANO RICO"/>
    <n v="6017431444"/>
    <s v="mcserrano@saesas.gov.co"/>
    <s v="NO"/>
    <s v="NO"/>
    <s v="NO"/>
    <s v="SI"/>
    <s v="NO"/>
    <x v="0"/>
    <x v="0"/>
    <x v="29"/>
    <n v="90000000"/>
    <n v="0"/>
    <s v="030-2025"/>
    <d v="2025-12-31T00:00:00"/>
  </r>
  <r>
    <x v="114"/>
    <s v="Dimensión de Grupos de Interés__x000a__x000a_Fomento y fortalecimiento de alianzas público populares y comunitarios"/>
    <s v="Promover la creación de alianzas público populares, comunitarias, cooperativas, corporativas y de cooperación internacional, que permitan el uso y el goce de bienes y servicios de la SAE por parte de sus grupos de interés, así como su fortalecimiento institucional."/>
    <s v="2025LG140"/>
    <s v="LP-01 HONORARIOS Y ASESORIA APOYO"/>
    <s v="1. Plan de Contratación"/>
    <s v="GASTOS DE PERSONAL "/>
    <s v="A-1-0-2-12-01"/>
    <s v="HONORARIOS ADMINISTRATIVOS EXTINTO"/>
    <s v="HONORARIOS ADMINISTRATIVOS EXTINTO"/>
    <x v="3"/>
    <n v="420"/>
    <x v="3"/>
    <n v="403500000"/>
    <n v="80111600"/>
    <x v="107"/>
    <x v="3"/>
    <s v="ABRIL"/>
    <n v="9"/>
    <s v="MESES"/>
    <x v="0"/>
    <s v="FRISCO "/>
    <n v="70200000"/>
    <n v="70200000"/>
    <s v="NO"/>
    <s v="NO"/>
    <s v="DIRECCCIÓN PARA LA DEMOCRATIZACIÓN DE ACTIVOS INMUEBLES URBANOS"/>
    <s v="CO-DC-11001"/>
    <s v="MARIA CATALINA SERRANO RICO"/>
    <n v="6017431444"/>
    <s v="mcserrano@saesas.gov.co"/>
    <s v="NO"/>
    <s v="NO"/>
    <s v="NO"/>
    <s v="SI"/>
    <s v="NO"/>
    <x v="0"/>
    <x v="1"/>
    <x v="30"/>
    <m/>
    <n v="70200000"/>
    <s v="033-2025"/>
    <m/>
  </r>
  <r>
    <x v="115"/>
    <s v="Dimensión de Grupos de Interés__x000a__x000a_Fomento y fortalecimiento de alianzas público populares y comunitarios"/>
    <s v="Promover la creación de alianzas público populares, comunitarias, cooperativas, corporativas y de cooperación internacional, que permitan el uso y el goce de bienes y servicios de la SAE por parte de sus grupos de interés, así como su fortalecimiento institucional."/>
    <s v="2025LG140"/>
    <s v="LP-01 HONORARIOS Y ASESORIA APOYO"/>
    <s v="1. Plan de Contratación"/>
    <s v="GASTOS DE PERSONAL "/>
    <s v="A-1-0-2-12-01"/>
    <s v="HONORARIOS ADMINISTRATIVOS EXTINTO"/>
    <s v="HONORARIOS ADMINISTRATIVOS EXTINTO"/>
    <x v="3"/>
    <n v="420"/>
    <x v="3"/>
    <n v="403500000"/>
    <n v="80111600"/>
    <x v="108"/>
    <x v="3"/>
    <s v="ABRIL"/>
    <n v="9"/>
    <s v="MESES"/>
    <x v="0"/>
    <s v="FRISCO "/>
    <n v="90000000"/>
    <n v="90000000"/>
    <s v="NO"/>
    <s v="NO"/>
    <s v="DIRECCCIÓN PARA LA DEMOCRATIZACIÓN DE ACTIVOS INMUEBLES URBANOS"/>
    <s v="CO-DC-11001"/>
    <s v="MARIA CATALINA SERRANO RICO"/>
    <n v="6017431444"/>
    <s v="mcserrano@saesas.gov.co"/>
    <s v="NO"/>
    <s v="NO"/>
    <s v="NO"/>
    <s v="SI"/>
    <s v="NO"/>
    <x v="1"/>
    <x v="1"/>
    <x v="7"/>
    <m/>
    <n v="90000000"/>
    <s v="NO"/>
    <m/>
  </r>
  <r>
    <x v="116"/>
    <s v="Dimensión Procesos__x000a__x000a_Inventario de activos y portafolios administrados por la SAE actualizados"/>
    <s v="Diseñar, desarrollar e implementar la estrategia de transición digital que propenda por la transparencia y adecuada administración de los activos."/>
    <s v="2025LG302"/>
    <s v="LP-01 PRESTACION DE SERVICIOS DE CONSULTORIA PARA LA ACTUALIZACION DE LA NORMA ISO 27001"/>
    <s v="1. Plan de Contratación"/>
    <s v="HONORARIOS ADMINISTRATIVOS"/>
    <s v="A-2-0-4-41-13"/>
    <s v="HONORARIOS ADMINISTRATIVOS"/>
    <s v="HONORARIOS ADMINISTRATIVOS"/>
    <x v="11"/>
    <n v="120"/>
    <x v="11"/>
    <n v="80000000"/>
    <n v="80100000"/>
    <x v="109"/>
    <x v="3"/>
    <s v="MARZO "/>
    <n v="1"/>
    <s v="AÑOS"/>
    <x v="1"/>
    <s v="SAE"/>
    <n v="80000000"/>
    <n v="80000000"/>
    <s v="NO"/>
    <s v="EN PROYECCIÓN"/>
    <s v="OFICINA DE TECNOLOGÍAS Y SISTEMAS DE LA INFORMACIÓN"/>
    <s v="CO-DC-11001"/>
    <s v="DIVEITH DIANA CRISTINA DÁVILA GÓMEZ"/>
    <n v="6017431444"/>
    <s v="ddavila@saesas.gov.co"/>
    <s v="NO"/>
    <s v="NO"/>
    <s v="NO"/>
    <s v="SI"/>
    <s v="NO"/>
    <x v="0"/>
    <x v="1"/>
    <x v="7"/>
    <m/>
    <n v="80000000"/>
    <s v="NO"/>
    <m/>
  </r>
  <r>
    <x v="117"/>
    <s v="Dimensión de Grupos de Interés__x000a__x000a_Fomento y fortalecimiento de alianzas público populares y comunitarios"/>
    <s v="Promover la creación de alianzas público populares, comunitarias, cooperativas, corporativas y de cooperación internacional, que permitan el uso y el goce de bienes y servicios de la SAE por parte de sus grupos de interés, así como su fortalecimiento institucional."/>
    <s v="2025LG009"/>
    <s v="LP-01 HONORARIOS Y ASESORIA APOYO"/>
    <s v="1. Plan de Contratación"/>
    <s v="Gastos de personal"/>
    <s v="A-1-0-2-12-01"/>
    <s v="HONORARIOS ASESORIA Y APOYO"/>
    <s v="HONORARIOS ADMINISTRATIVOS EXTINTO"/>
    <x v="21"/>
    <n v="103"/>
    <x v="21"/>
    <n v="200000000"/>
    <n v="80111600"/>
    <x v="110"/>
    <x v="3"/>
    <s v="ABRIL"/>
    <n v="8"/>
    <s v="MESES"/>
    <x v="0"/>
    <n v="0"/>
    <n v="92000000"/>
    <n v="92000000"/>
    <n v="0"/>
    <n v="0"/>
    <s v="DIRECCIÓN DE PROYECTOS"/>
    <s v="CO-DC-11001"/>
    <s v="JAIRO ANDRES RIVERA HENKER"/>
    <n v="6017431444"/>
    <s v="jarivera@saesas.gov.co"/>
    <s v="NO"/>
    <s v="NO"/>
    <s v="NO"/>
    <n v="0"/>
    <s v="NO"/>
    <x v="0"/>
    <x v="1"/>
    <x v="31"/>
    <m/>
    <n v="92000000"/>
    <s v="NO"/>
    <m/>
  </r>
  <r>
    <x v="118"/>
    <s v="Dimensión de Grupos de Interés__x000a__x000a_Fomento y fortalecimiento de alianzas público populares y comunitarios"/>
    <s v="Promover la creación de alianzas público populares, comunitarias, cooperativas, corporativas y de cooperación internacional, que permitan el uso y el goce de bienes y servicios de la SAE por parte de sus grupos de interés, así como su fortalecimiento institucional."/>
    <s v="2025LG009"/>
    <s v="LP-01 HONORARIOS Y ASESORIA APOYO"/>
    <s v="1. Plan de Contratación"/>
    <s v="Gastos de personal"/>
    <s v="A-1-0-2-12-01"/>
    <s v="HONORARIOS ASESORIA Y APOYO"/>
    <s v="HONORARIOS ADMINISTRATIVOS EXTINTO"/>
    <x v="21"/>
    <n v="103"/>
    <x v="21"/>
    <n v="200000000"/>
    <n v="80111600"/>
    <x v="111"/>
    <x v="3"/>
    <s v="ABRIL"/>
    <n v="8"/>
    <s v="MESES"/>
    <x v="0"/>
    <n v="0"/>
    <n v="92000000"/>
    <n v="92000000"/>
    <n v="0"/>
    <n v="0"/>
    <s v="DIRECCIÓN DE PROYECTOS"/>
    <s v="CO-DC-11001"/>
    <s v="JAIRO ANDRES RIVERA HENKER"/>
    <n v="6017431444"/>
    <s v="jarivera@saesas.gov.co"/>
    <s v="NO"/>
    <s v="NO"/>
    <s v="NO"/>
    <s v="SI"/>
    <s v="NO"/>
    <x v="0"/>
    <x v="1"/>
    <x v="32"/>
    <m/>
    <n v="92000000"/>
    <s v="035-2025"/>
    <m/>
  </r>
  <r>
    <x v="119"/>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42"/>
    <s v="LP-01 HONORARIOS DE SERVICIOS"/>
    <s v="1. Plan de Contratación"/>
    <s v="Gastos de personal"/>
    <s v="A-8-3-9-10-01"/>
    <s v="HONORARIOS VARIOS INCAUTADO"/>
    <s v="HONORARIOS VARIOS INCAUTADO"/>
    <x v="22"/>
    <n v="300"/>
    <x v="22"/>
    <n v="178000000"/>
    <n v="80111600"/>
    <x v="112"/>
    <x v="3"/>
    <s v="MARZO"/>
    <n v="9"/>
    <s v="MESES"/>
    <x v="0"/>
    <s v="FRISCO"/>
    <n v="133000000"/>
    <n v="133000000"/>
    <s v="NO"/>
    <s v="NO"/>
    <s v="VICEPRESIDENCIA OPERATIVA"/>
    <s v="CO-DC-11001"/>
    <s v="EDUARDO ALFONSO BARON GOMÉZ"/>
    <n v="6017431444"/>
    <s v="edbaron@saesas.gov.co"/>
    <s v="NO"/>
    <s v="NO"/>
    <s v="NO"/>
    <s v="SI"/>
    <s v="NO"/>
    <x v="0"/>
    <x v="0"/>
    <x v="33"/>
    <n v="84000000"/>
    <n v="49000000"/>
    <s v="027-2025"/>
    <d v="2025-10-22T00:00:00"/>
  </r>
  <r>
    <x v="120"/>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13"/>
    <s v="LP-01 SERVICIOS DE APOYO A LA GESTIÓN DE LA OAP"/>
    <s v="1. Plan de Contratación"/>
    <s v="Gastos de personal"/>
    <s v="A-1-0-2-12-01"/>
    <s v="HONORARIOS ADMINISTRATIVOS EXTINTO"/>
    <s v="HONORARIOS ADMINISTRATIVOS EXTINTO"/>
    <x v="23"/>
    <n v="110"/>
    <x v="23"/>
    <n v="150000000"/>
    <n v="80111600"/>
    <x v="113"/>
    <x v="6"/>
    <s v="MAYO"/>
    <n v="120"/>
    <s v="DÍAS"/>
    <x v="0"/>
    <s v="FRISCO"/>
    <n v="34000000"/>
    <n v="34000000"/>
    <s v="NO"/>
    <s v="NO"/>
    <s v="DIRECCIÓN DE PLANEACIÓN Y PROSPECTIVA"/>
    <s v="BOGOTÁ"/>
    <s v="DANIEL SEBASTIAN CONTRERAS ORTIZ"/>
    <n v="3195124082"/>
    <s v="dcontreras@saesas.gov.co"/>
    <s v="NO"/>
    <s v="NO"/>
    <s v="NO"/>
    <s v="SI"/>
    <s v="NO"/>
    <x v="1"/>
    <x v="1"/>
    <x v="7"/>
    <m/>
    <n v="34000000"/>
    <s v="NO"/>
    <m/>
  </r>
  <r>
    <x v="121"/>
    <s v="Dimensión Procesos__x000a__x000a_Inventario de activos y portafolios administrados por la SAE actualizados"/>
    <s v="Estandarizar, actualizar y mejorar la información del inventario de activos administrados por la SAE con criterios de calidad y oportunidad."/>
    <s v="2025LG229"/>
    <s v="LP-18 GESTIÓN AMBIENTAL CONTROL DE ASPECTOS E IMPACTOS AMBIENTALES, EDUCACIÓN AMBIENTAL Y EVALUACIÓN DEL SISTEMA"/>
    <s v="1. Plan de Contratación"/>
    <s v="GASTOS GENERALES"/>
    <s v="A-2-0-4-21-06"/>
    <s v="SISTEMA DE GESTIÓN AMBIENTAL"/>
    <s v="SISTEMA DE GESTIÓN AMBIENTAL"/>
    <x v="20"/>
    <n v="2000"/>
    <x v="20"/>
    <n v="25000000"/>
    <n v="72102100"/>
    <x v="114"/>
    <x v="2"/>
    <s v="ABRIL"/>
    <n v="9"/>
    <s v="MESES"/>
    <x v="1"/>
    <s v="SAE"/>
    <n v="9332354"/>
    <n v="9332354"/>
    <s v="NO"/>
    <s v="NO"/>
    <s v="VICEPRESIDENCIA CORPORATIVA"/>
    <s v="CO-DC-11001"/>
    <s v="AURA ELVIRA GÓMEZ MARTÍNEZ"/>
    <n v="6017431444"/>
    <s v="augomez@saesas.gov.co"/>
    <s v="NO"/>
    <s v="NO"/>
    <s v="NO"/>
    <s v="SI"/>
    <s v="NO"/>
    <x v="1"/>
    <x v="1"/>
    <x v="7"/>
    <m/>
    <n v="9332354"/>
    <s v="NO"/>
    <m/>
  </r>
  <r>
    <x v="122"/>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92"/>
    <s v="LP-01 HONORARIOS DE SERVICIOS PROFESIONALES PARA EL APOYO A LA GESTIÓN"/>
    <s v="1. Plan de Contratación"/>
    <s v="GASTOS DE PERSONAL "/>
    <s v="A-1-0-2-12-01"/>
    <s v="HONORARIOS ADMINISTRATIVOS"/>
    <s v="HONORARIOS ADMINISTRATIVOS"/>
    <x v="6"/>
    <n v="320"/>
    <x v="6"/>
    <n v="248000000"/>
    <n v="80111600"/>
    <x v="115"/>
    <x v="6"/>
    <s v="MAYO"/>
    <n v="6"/>
    <s v="MESES"/>
    <x v="0"/>
    <s v="SAE"/>
    <n v="36230667"/>
    <n v="36230667"/>
    <s v="NO"/>
    <s v="NO"/>
    <s v="DIRECCIÓN DE CONTRATACIÓN"/>
    <s v="CO-DC-11001"/>
    <s v="DIEGO ROMERO RIVERA"/>
    <n v="6017431444"/>
    <s v="diromero@saesas.gov.co"/>
    <s v="NO"/>
    <s v="NO"/>
    <s v="NO"/>
    <s v="SI"/>
    <s v="NO"/>
    <x v="0"/>
    <x v="1"/>
    <x v="7"/>
    <m/>
    <n v="36230667"/>
    <m/>
    <m/>
  </r>
  <r>
    <x v="123"/>
    <s v="Dimensión de Grupos de Interés__x000a__x000a_Fomento y fortalecimiento de alianzas público populares y comunitarios"/>
    <s v="Fomentar las economías populares y comunitarias a partir de proyectos estratégicos que generen valor público, social y ambiental."/>
    <s v="2025LG009"/>
    <s v="LP-01 HONORARIOS Y ASESORIA APOYO"/>
    <s v="1. Plan de Contratación"/>
    <s v="GASTOS DE PERSONAL "/>
    <s v="_x000a_A-8-3-9-10-01"/>
    <s v="HONORARIOS ASESORIA Y APOYO"/>
    <s v="HONORARIOS VARIOS INCAUTADO"/>
    <x v="21"/>
    <n v="103"/>
    <x v="21"/>
    <n v="300000000"/>
    <n v="80111600"/>
    <x v="116"/>
    <x v="6"/>
    <s v="MAYO"/>
    <n v="7"/>
    <s v="MESES"/>
    <x v="0"/>
    <s v="FRISCO"/>
    <n v="69790000"/>
    <n v="69790000"/>
    <s v="NO"/>
    <s v="NO"/>
    <s v="DIRECCIÓN DE PROYECTOS"/>
    <s v="CO-DC-11001"/>
    <s v="JAIRO ANDRES RIVERA HENKER"/>
    <n v="6017431444"/>
    <s v="jarivera@saesas.gov.co"/>
    <s v="NO"/>
    <s v="NO"/>
    <s v="NO"/>
    <s v="SI"/>
    <s v="NO"/>
    <x v="1"/>
    <x v="1"/>
    <x v="7"/>
    <m/>
    <n v="69790000"/>
    <s v="NO"/>
    <m/>
  </r>
  <r>
    <x v="124"/>
    <s v="Dimensión de Grupos de Interés__x000a__x000a_Fomento y fortalecimiento de alianzas público populares y comunitarios"/>
    <s v="Fomentar las economías populares y comunitarias a partir de proyectos estratégicos que generen valor público, social y ambiental."/>
    <s v="2025LG009"/>
    <s v="LP-01 HONORARIOS Y ASESORIA APOYO"/>
    <s v="1. Plan de Contratación"/>
    <s v="GASTOS DE PERSONAL "/>
    <s v="A-1-0-2-12-01;A-8-3-9-10-01"/>
    <s v="HONORARIOS ASESORIA Y APOYO - "/>
    <s v="HONORARIOS ADMINISTRATIVOS EXTINTO - HONORARIOS VARIOS INCAUTADO"/>
    <x v="21"/>
    <n v="103"/>
    <x v="21"/>
    <n v="300000000"/>
    <n v="80111600"/>
    <x v="117"/>
    <x v="6"/>
    <s v="MAYO"/>
    <n v="7"/>
    <s v="MESES"/>
    <x v="0"/>
    <s v="FRISCO"/>
    <n v="69790000"/>
    <n v="69790000"/>
    <s v="NO"/>
    <s v="NO"/>
    <s v="DIRECCIÓN DE PROYECTOS"/>
    <s v="CO-DC-11001"/>
    <s v="JAIRO ANDRES RIVERA HENKER"/>
    <n v="6017431444"/>
    <s v="jarivera@saesas.gov.co"/>
    <s v="NO"/>
    <s v="NO"/>
    <s v="NO"/>
    <s v="SI"/>
    <s v="NO"/>
    <x v="1"/>
    <x v="1"/>
    <x v="7"/>
    <m/>
    <n v="69790000"/>
    <s v="NO"/>
    <m/>
  </r>
  <r>
    <x v="125"/>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3"/>
    <s v="LP-01 HONORARIOS SERVICIOS PROFESIONALES ESPECIALIZADOS PARA APOYAR A LA VICEPRESIDENCIA DE BIENES MUEBLES E INMUEBLES DE LA SAE EN LAS GESTIONES QUE SE DEBAN ADOPTAR EN EL MARCO DE LAS FUNCIONES DE LA VICEPRESIDENCIA"/>
    <s v="1. Plan de Contratación"/>
    <s v="GASTOS DE PERSONAL "/>
    <s v="A-1-0-2-12-01"/>
    <s v="HONORARIOS ADMINISTRATIVOS EXTINTO"/>
    <s v="HONORARIOS ADMINISTRATIVOS EXTINTO"/>
    <x v="13"/>
    <n v="400"/>
    <x v="13"/>
    <n v="388000000"/>
    <n v="80111600"/>
    <x v="118"/>
    <x v="3"/>
    <s v="ABRIL"/>
    <n v="9"/>
    <s v="MESES"/>
    <x v="0"/>
    <s v="FRISCO"/>
    <n v="45900000"/>
    <n v="45900000"/>
    <s v="NO"/>
    <s v="NO"/>
    <s v="VICEPRESIDENCIA DE ACTIVOS MUEBLES E INMUEBLES"/>
    <s v="CO-DC-11001"/>
    <s v="OMAR PINZON FLOREZ "/>
    <n v="6017431444"/>
    <s v="opinzon@saesas.gov.co"/>
    <s v="NO"/>
    <s v="NO"/>
    <s v="NO"/>
    <s v="SI"/>
    <s v="NO"/>
    <x v="1"/>
    <x v="1"/>
    <x v="7"/>
    <m/>
    <n v="45900000"/>
    <s v="NO"/>
    <m/>
  </r>
  <r>
    <x v="126"/>
    <s v="Dimensión financiera_ Control financiero y administrativo de los recursos económicos de la Sociedad y de los activos que administra."/>
    <s v="Garantizar la efectiva transferencia de recursos a la Nación, en concordancia con lo establecido en la ley y contribuyendo a los propósitos del Plan Nacional de Desarrollo. "/>
    <s v="2025LG305"/>
    <s v="LP-01 HONORARIOS DE SERVICIOS PROFESIONALES PARA EL APOYO A LA GESTIÓN DE LA GERENCIA DE AUDITORIA A SOCIEDADES"/>
    <s v="1. Plan de Contratación"/>
    <s v="GASTOS DE PERSONAL "/>
    <s v="A-8-3-9-10-01"/>
    <s v="HONORARIOS VARIOS INCAUTADO"/>
    <s v="HONORARIOS VARIOS INCAUTADO"/>
    <x v="24"/>
    <n v="530"/>
    <x v="24"/>
    <s v="$ 200.000.000"/>
    <n v="80111600"/>
    <x v="119"/>
    <x v="6"/>
    <s v="MAYO"/>
    <n v="8"/>
    <s v="MESES"/>
    <x v="0"/>
    <s v="FRISCO "/>
    <n v="73600000"/>
    <n v="73600000"/>
    <s v="NO"/>
    <s v="NO"/>
    <s v="GERENCIA DE AUDITORIA A SOCIEDADES"/>
    <s v="CO-DC-11001"/>
    <s v="SEBASTIAN ALFONSO GOMEZ LOZANO"/>
    <n v="7431444"/>
    <s v="segomez@saesas.gov.co"/>
    <s v="NO"/>
    <s v="NO"/>
    <s v="NO"/>
    <s v="SI"/>
    <s v="NO"/>
    <x v="1"/>
    <x v="1"/>
    <x v="7"/>
    <m/>
    <n v="73600000"/>
    <s v="NO"/>
    <m/>
  </r>
  <r>
    <x v="127"/>
    <s v="Dimensión financiera_ Control financiero y administrativo de los recursos económicos de la Sociedad y de los activos que administra."/>
    <s v="Garantizar la efectiva transferencia de recursos a la Nación, en concordancia con lo establecido en la ley y contribuyendo a los propósitos del Plan Nacional de Desarrollo. "/>
    <s v="2025LG305"/>
    <s v="LP-01 HONORARIOS DE SERVICIOS PROFESIONALES PARA EL APOYO A LA GESTIÓN DE LA GERENCIA DE AUDITORIA A SOCIEDADES"/>
    <s v="1. Plan de Contratación"/>
    <s v="GASTOS DE PERSONAL "/>
    <s v="A-8-3-9-10-01"/>
    <s v="HONORARIOS VARIOS INCAUTADO"/>
    <s v="HONORARIOS VARIOS INCAUTADO"/>
    <x v="24"/>
    <n v="530"/>
    <x v="24"/>
    <s v="$ 200.000.000"/>
    <n v="80111600"/>
    <x v="119"/>
    <x v="6"/>
    <s v="MAYO"/>
    <n v="8"/>
    <s v="MESES"/>
    <x v="0"/>
    <s v="FRISCO "/>
    <n v="73600000"/>
    <n v="73600000"/>
    <s v="NO"/>
    <s v="NO"/>
    <s v="GERENCIA DE AUDITORIA A SOCIEDADES"/>
    <s v="CO-DC-11001"/>
    <s v="SEBASTIAN ALFONSO GOMEZ LOZANO"/>
    <n v="7431444"/>
    <s v="segomez@saesas.gov.co"/>
    <s v="NO"/>
    <s v="NO"/>
    <s v="NO"/>
    <s v="SI"/>
    <s v="NO"/>
    <x v="1"/>
    <x v="1"/>
    <x v="7"/>
    <m/>
    <n v="73600000"/>
    <s v="NO"/>
    <m/>
  </r>
  <r>
    <x v="128"/>
    <s v="Dimensión financiera_ Control financiero y administrativo de los recursos económicos de la Sociedad y de los activos que administra."/>
    <s v="Garantizar la efectiva transferencia de recursos a la Nación, en concordancia con lo establecido en la ley y contribuyendo a los propósitos del Plan Nacional de Desarrollo. "/>
    <s v="2025LG305"/>
    <s v="LP-01 HONORARIOS DE SERVICIOS PROFESIONALES PARA EL APOYO A LA GESTIÓN DE LA GERENCIA DE AUDITORIA A SOCIEDADES"/>
    <s v="1. Plan de Contratación"/>
    <s v="GASTOS DE PERSONAL "/>
    <s v="A-8-3-9-10-01"/>
    <s v="HONORARIOS VARIOS INCAUTADO"/>
    <s v="HONORARIOS VARIOS INCAUTADO"/>
    <x v="24"/>
    <n v="530"/>
    <x v="24"/>
    <s v="$ 200.000.000"/>
    <n v="80111600"/>
    <x v="119"/>
    <x v="6"/>
    <s v="MAYO"/>
    <n v="8"/>
    <s v="MESES"/>
    <x v="0"/>
    <s v="FRISCO "/>
    <n v="52800000"/>
    <n v="52800000"/>
    <s v="NO"/>
    <s v="NO"/>
    <s v="GERENCIA DE AUDITORIA A SOCIEDADES"/>
    <s v="CO-DC-11001"/>
    <s v="SEBASTIAN ALFONSO GOMEZ LOZANO"/>
    <n v="7431444"/>
    <s v="segomez@saesas.gov.co"/>
    <s v="NO"/>
    <s v="NO"/>
    <s v="NO"/>
    <s v="SI"/>
    <s v="NO"/>
    <x v="1"/>
    <x v="1"/>
    <x v="7"/>
    <m/>
    <n v="52800000"/>
    <s v="NO"/>
    <m/>
  </r>
  <r>
    <x v="129"/>
    <s v="Dimensión Procesos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0"/>
    <s v="LP-01 HONORARIOS DE SERVICIOS PROFESIONALES PARA EL APOYO A LA GESTIÓN"/>
    <s v="1. Plan de Contratación"/>
    <s v="GASTOS DE PERSONAL "/>
    <s v="A-8-3-9-10-02"/>
    <s v="HONORARIOS JURIDICOS INCAUTADO"/>
    <s v="HONORARIOS JURIDICOS INCAUTADO"/>
    <x v="15"/>
    <n v="310"/>
    <x v="15"/>
    <n v="672000000"/>
    <n v="80111607"/>
    <x v="120"/>
    <x v="6"/>
    <s v="MAYO"/>
    <n v="8"/>
    <s v="MESES"/>
    <x v="0"/>
    <s v="FRISCO "/>
    <n v="36000000"/>
    <n v="36000000"/>
    <s v="NO"/>
    <s v="NO"/>
    <s v="DIRECCIÓN DE ASUNTOS LEGALES MISIONALES"/>
    <s v="CO-DC-11001"/>
    <s v="ANYI SHARLYN MARÍN CAMARGO"/>
    <s v="7431444 Ext. 431"/>
    <s v="amarin@saesas.gov.co"/>
    <s v="N/A"/>
    <s v="NO"/>
    <s v="NO"/>
    <s v="Sí"/>
    <s v="NO"/>
    <x v="0"/>
    <x v="0"/>
    <x v="34"/>
    <n v="36000000"/>
    <n v="0"/>
    <s v="SI"/>
    <d v="2025-12-31T00:00:00"/>
  </r>
  <r>
    <x v="130"/>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92"/>
    <s v="LP-01 HONORARIOS DE SERVICIOS PROFESIONALES PARA EL APOYO A LA GESTIÓN"/>
    <s v="1. Plan de Contratación"/>
    <s v="GASTOS DE PERSONAL "/>
    <s v="A-1-0-2-12-01"/>
    <s v="HONORARIOS ADMINISTRATIVOS"/>
    <s v="HONORARIOS ADMINISTRATIVOS"/>
    <x v="6"/>
    <n v="320"/>
    <x v="6"/>
    <n v="248000000"/>
    <n v="80111600"/>
    <x v="121"/>
    <x v="6"/>
    <s v="MAYO"/>
    <n v="7"/>
    <s v="MESES"/>
    <x v="0"/>
    <s v="SAE"/>
    <n v="78466667"/>
    <n v="78466667"/>
    <s v="NO"/>
    <s v="NO"/>
    <s v="DIRECCIÓN DE CONTRATACIÓN"/>
    <s v="CO-DC-11001"/>
    <s v="DIEGO ROMERO RIVERA"/>
    <n v="6017431444"/>
    <s v="diromero@saesas.gov.co"/>
    <s v="NO"/>
    <s v="NO"/>
    <s v="NO"/>
    <s v="SI"/>
    <s v="NO"/>
    <x v="0"/>
    <x v="0"/>
    <x v="35"/>
    <n v="77000000"/>
    <n v="1466667"/>
    <s v="SI"/>
    <m/>
  </r>
  <r>
    <x v="131"/>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292"/>
    <s v="LP-01 HONORARIOS DE SERVICIOS PROFESIONALES PARA EL APOYO A LA GESTIÓN"/>
    <s v="1. Plan de Contratación"/>
    <s v="GASTOS DE PERSONAL "/>
    <s v="A-1-0-2-12-01"/>
    <s v="HONORARIOS ADMINISTRATIVOS"/>
    <s v="HONORARIOS ADMINISTRATIVOS"/>
    <x v="6"/>
    <n v="320"/>
    <x v="6"/>
    <n v="248000000"/>
    <n v="80111600"/>
    <x v="122"/>
    <x v="6"/>
    <s v="MAYO"/>
    <n v="7"/>
    <s v="MESES"/>
    <x v="0"/>
    <s v="SAE"/>
    <n v="77000000"/>
    <n v="77000000"/>
    <s v="NO"/>
    <s v="NO"/>
    <s v="DIRECCIÓN DE CONTRATACIÓN"/>
    <s v="CO-DC-11001"/>
    <s v="DIEGO ROMERO RIVERA"/>
    <n v="6017431444"/>
    <s v="diromero@saesas.gov.co"/>
    <s v="NO"/>
    <s v="NO"/>
    <s v="NO"/>
    <s v="SI"/>
    <s v="NO"/>
    <x v="1"/>
    <x v="1"/>
    <x v="7"/>
    <m/>
    <n v="77000000"/>
    <s v="NO"/>
    <m/>
  </r>
  <r>
    <x v="132"/>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7"/>
    <s v="LP-01 APOYO A LA GESTIÓN DE LOS PROCESOS A CARGO DE PRESIDENCIA"/>
    <s v="1. Plan de Contratación"/>
    <s v="GASTOS OPERACIONALES"/>
    <s v="A-8-3-9-10-01"/>
    <s v="HONORARIOS VARIOS INCAUTADO"/>
    <s v="HONORARIOS VARIOS INCAUTADO"/>
    <x v="0"/>
    <n v="100"/>
    <x v="0"/>
    <n v="1000000000"/>
    <n v="80111600"/>
    <x v="123"/>
    <x v="6"/>
    <s v="MAYO"/>
    <n v="6"/>
    <s v="MESES"/>
    <x v="0"/>
    <s v="FRISCO "/>
    <n v="54600000"/>
    <n v="54600000"/>
    <s v="NO"/>
    <s v="NO"/>
    <s v="DESPACHO DEL PRESIDENTE"/>
    <s v="CO-DC-11001"/>
    <s v="AMELIA PEREZ PARRA"/>
    <n v="6017431444"/>
    <s v="amperez@saesas.gov.co"/>
    <s v="NO"/>
    <s v="NO"/>
    <s v="NO"/>
    <s v="SI"/>
    <s v="NO"/>
    <x v="0"/>
    <x v="1"/>
    <x v="7"/>
    <m/>
    <n v="54600000"/>
    <s v="NO"/>
    <m/>
  </r>
  <r>
    <x v="133"/>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7"/>
    <s v="LP-01 APOYO A LA GESTIÓN DE LOS PROCESOS A CARGO DE PRESIDENCIA"/>
    <s v="1. Plan de Contratación"/>
    <s v="GASTOS OPERACIONALES"/>
    <s v="A-8-3-9-10-01"/>
    <s v="HONORARIOS VARIOS INCAUTADO"/>
    <s v="HONORARIOS VARIOS INCAUTADO"/>
    <x v="0"/>
    <n v="100"/>
    <x v="0"/>
    <n v="1000000000"/>
    <n v="80111600"/>
    <x v="124"/>
    <x v="6"/>
    <s v="MAYO"/>
    <n v="6"/>
    <s v="MESES"/>
    <x v="0"/>
    <s v="FRISCO "/>
    <n v="60000000"/>
    <n v="60000000"/>
    <s v="NO"/>
    <s v="NO"/>
    <s v="DESPACHO DEL PRESIDENTE"/>
    <s v="CO-DC-11001"/>
    <s v="AMELIA PEREZ PARRA"/>
    <n v="6017431444"/>
    <s v="amperez@saesas.gov.co"/>
    <s v="NO"/>
    <s v="NO"/>
    <s v="NO"/>
    <s v="SI"/>
    <s v="NO"/>
    <x v="0"/>
    <x v="1"/>
    <x v="36"/>
    <m/>
    <n v="60000000"/>
    <s v="NO"/>
    <m/>
  </r>
  <r>
    <x v="134"/>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N/A"/>
    <s v="N/A"/>
    <s v="1. Plan de Contratación"/>
    <s v="N/A"/>
    <s v="N/A"/>
    <s v="N/A"/>
    <s v="N/A"/>
    <x v="0"/>
    <n v="100"/>
    <x v="0"/>
    <n v="0"/>
    <n v="0"/>
    <x v="125"/>
    <x v="6"/>
    <s v="MAYO"/>
    <n v="2"/>
    <s v="AÑOS"/>
    <x v="0"/>
    <s v="N/A"/>
    <s v="no tiene erogación presupuestaL"/>
    <s v="N/A"/>
    <s v="N/A"/>
    <s v="N/A"/>
    <s v="DESPACHO DEL PRESIDENTE"/>
    <s v="CO-DC-11001"/>
    <s v="AMELIA PEREZ PARRA"/>
    <n v="6017431444"/>
    <s v="amperez@saesas.gov.co"/>
    <s v="NO"/>
    <s v="NO"/>
    <s v="NO"/>
    <s v="SI"/>
    <s v="NO"/>
    <x v="0"/>
    <x v="0"/>
    <x v="7"/>
    <m/>
    <e v="#VALUE!"/>
    <s v="NO"/>
    <m/>
  </r>
  <r>
    <x v="135"/>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002;2025LG003;2025LG004;2025LG005"/>
    <s v="LP-05 ADMINISTRACION,DESALOJOS, VISITAS, ENTRE OTROS BIENES "/>
    <s v="1. Plan de Contratación"/>
    <s v="FRISCO"/>
    <s v="A-8-3-9-08-01"/>
    <s v="OTROS GASTOS INCAUTADOS "/>
    <s v="OTROS GASTOS INCAUTADOS "/>
    <x v="25"/>
    <n v="101"/>
    <x v="25"/>
    <s v="$2.000.000.000"/>
    <s v="81141600;78111800;31162800"/>
    <x v="126"/>
    <x v="6"/>
    <s v="MAYO"/>
    <n v="7"/>
    <s v="MESES"/>
    <x v="4"/>
    <s v="FRISCO"/>
    <n v="1600000000"/>
    <n v="1600000000"/>
    <s v="NO"/>
    <s v="N/A"/>
    <s v="DIRECCION DE CONTROL DEL INVENTARIO"/>
    <s v="CO-DC-11001"/>
    <s v="MARLENY ELIZABETH SALDAÑA DAVIDSON"/>
    <n v="3213519760"/>
    <s v="msaldana@saesas.gov.co"/>
    <s v="NO"/>
    <s v="SI"/>
    <s v="NO"/>
    <s v="SI"/>
    <s v="NO"/>
    <x v="1"/>
    <x v="1"/>
    <x v="7"/>
    <m/>
    <n v="1600000000"/>
    <s v="NO"/>
    <m/>
  </r>
  <r>
    <x v="136"/>
    <s v="Dimensión Procesos__x000a__x000a_Inventario de activos y portafolios administrados por la SAE actualizados"/>
    <s v="Garantizar la mejora continua del modelo de operación de la SAE basado en acciones de optimización, automatización, control y articulación de procesos contribuyendo a la reducción de tiempos, la transparencia en la operación y el cumplimiento de objetivos institucionales."/>
    <s v="2025LG130"/>
    <s v="LP-01 HONORARIOS DE SERVICIOS PROFESIONALES PARA EL APOYO A LA GESTIÓN"/>
    <s v="1. Plan de Contratación"/>
    <s v="Gastos de personal"/>
    <s v="A-8-3-9-10-02"/>
    <s v="HONORARIOS JURIDICOS INCAUTADO"/>
    <s v="HONORARIOS JURIDICOS INCAUTADO"/>
    <x v="15"/>
    <n v="310"/>
    <x v="15"/>
    <n v="672000000"/>
    <n v="80111607"/>
    <x v="127"/>
    <x v="6"/>
    <s v="MAYO"/>
    <n v="8"/>
    <s v="MESES"/>
    <x v="0"/>
    <s v="FRISCO "/>
    <n v="90000000"/>
    <n v="90000000"/>
    <s v="NO"/>
    <s v="NA"/>
    <s v="DIRECCIÓN DE ASUNTOS LEGALES MISIONALES"/>
    <s v="CO-DC-11001"/>
    <s v="ANYI SHARLYN MARÍN CAMARGO"/>
    <n v="6017431444"/>
    <s v="amarin@saesas.gov.co"/>
    <s v="N/A"/>
    <s v="NO"/>
    <s v="NO"/>
    <s v="Sí"/>
    <s v="NO"/>
    <x v="1"/>
    <x v="1"/>
    <x v="7"/>
    <m/>
    <n v="90000000"/>
    <s v="NO"/>
    <m/>
  </r>
  <r>
    <x v="137"/>
    <s v="Dimensión de Grupos de Interés__x000a__x000a_Fomento y fortalecimiento de alianzas público populares y comunitarios"/>
    <s v="Posicionar a la SAE como una Entidad líder en la administración transparente de activos a nivel local, nacional e internacional con enfoque social, ambiental y productivo."/>
    <s v="2025LG013"/>
    <s v="LP-01 SERVICIOS DE APOYO A LA GESTIÓN DE LA OAP"/>
    <s v="1. Plan de Contratación"/>
    <s v="Gastos de personal"/>
    <s v="A-1-0-2-12-01"/>
    <s v="HONORARIOS VARIOS INCAUTADO"/>
    <s v="HONORARIOS VARIOS INCAUTADO"/>
    <x v="23"/>
    <n v="110"/>
    <x v="23"/>
    <n v="150000000"/>
    <n v="80111600"/>
    <x v="128"/>
    <x v="6"/>
    <s v="JUNIO"/>
    <n v="180"/>
    <s v="DÍAS"/>
    <x v="0"/>
    <s v="FRISCO "/>
    <n v="66000000"/>
    <n v="66000000"/>
    <s v="NO"/>
    <s v="NO"/>
    <s v="DIRECCIÓN DE PLANEACIÓN Y PROSPECTIVA"/>
    <s v="CO-DC-11001"/>
    <s v="DANIEL SEBASTIAN CONTRERAS ORTIZ"/>
    <n v="6017431444"/>
    <s v="dcontreras@saesas.gov.co"/>
    <s v="NO"/>
    <s v="NO"/>
    <s v="NO"/>
    <s v="SI"/>
    <s v="NO"/>
    <x v="1"/>
    <x v="1"/>
    <x v="7"/>
    <m/>
    <n v="66000000"/>
    <s v="NO"/>
    <m/>
  </r>
  <r>
    <x v="138"/>
    <s v="Dimensión de Grupos de Interés__x000a__x000a_Fomento y fortalecimiento de alianzas público populares y comunitarios"/>
    <s v="Posicionar a la SAE como una Entidad líder en la administración transparente de activos a nivel local, nacional e internacional con enfoque social, ambiental y productivo."/>
    <s v="2025LG013"/>
    <s v="LP-01 SERVICIOS DE APOYO A LA GESTIÓN DE LA OAP"/>
    <s v="1. Plan de Contratación"/>
    <s v="Gastos de personal"/>
    <s v="A-1-0-2-12-01"/>
    <s v="HONORARIOS VARIOS INCAUTADO"/>
    <s v="HONORARIOS VARIOS INCAUTADO"/>
    <x v="23"/>
    <n v="110"/>
    <x v="23"/>
    <n v="150000000"/>
    <n v="80111600"/>
    <x v="129"/>
    <x v="6"/>
    <s v="JUNIO"/>
    <n v="120"/>
    <s v="DÍAS"/>
    <x v="0"/>
    <s v="FRISCO "/>
    <n v="60000000"/>
    <n v="60000000"/>
    <s v="NO"/>
    <s v="NO"/>
    <s v="DIRECCIÓN DE PLANEACIÓN Y PROSPECTIVA"/>
    <s v="CO-DC-11001"/>
    <s v="DANIEL SEBASTIAN CONTRERAS ORTIZ"/>
    <n v="6017431444"/>
    <s v="dcontreras@saesas.gov.co"/>
    <s v="NO"/>
    <s v="NO"/>
    <s v="NO"/>
    <s v="SI"/>
    <s v="NO"/>
    <x v="1"/>
    <x v="1"/>
    <x v="7"/>
    <m/>
    <n v="60000000"/>
    <s v="NO"/>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3719B9F7-0965-4018-8D71-3C956C6D72FB}" name="TablaDinámica4" cacheId="526"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2">
  <location ref="B3:D8" firstHeaderRow="0" firstDataRow="1" firstDataCol="1"/>
  <pivotFields count="43">
    <pivotField axis="axisRow" showAll="0">
      <items count="140">
        <item sd="0"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sd="0" x="47"/>
        <item sd="0" x="48"/>
        <item sd="0" x="49"/>
        <item sd="0" x="50"/>
        <item sd="0" x="51"/>
        <item sd="0" x="52"/>
        <item sd="0" x="53"/>
        <item sd="0" x="54"/>
        <item sd="0" x="55"/>
        <item sd="0" x="56"/>
        <item sd="0" x="57"/>
        <item sd="0" x="58"/>
        <item sd="0" x="59"/>
        <item sd="0" x="60"/>
        <item sd="0" x="61"/>
        <item sd="0" x="62"/>
        <item sd="0" x="63"/>
        <item sd="0" x="64"/>
        <item sd="0" x="65"/>
        <item sd="0" x="66"/>
        <item sd="0" x="67"/>
        <item sd="0" x="68"/>
        <item sd="0" x="69"/>
        <item sd="0" x="70"/>
        <item sd="0" x="71"/>
        <item sd="0" x="72"/>
        <item sd="0" x="73"/>
        <item sd="0" x="74"/>
        <item sd="0" x="75"/>
        <item sd="0" x="76"/>
        <item sd="0" x="77"/>
        <item sd="0" x="78"/>
        <item sd="0" x="79"/>
        <item sd="0" x="80"/>
        <item sd="0" x="81"/>
        <item sd="0" x="82"/>
        <item sd="0" x="83"/>
        <item sd="0" x="84"/>
        <item sd="0" x="85"/>
        <item sd="0" x="86"/>
        <item sd="0" x="87"/>
        <item sd="0" x="88"/>
        <item sd="0" x="89"/>
        <item sd="0" x="90"/>
        <item sd="0" x="91"/>
        <item sd="0" x="92"/>
        <item sd="0" x="93"/>
        <item sd="0" x="94"/>
        <item sd="0" x="95"/>
        <item sd="0" x="96"/>
        <item sd="0" x="97"/>
        <item sd="0" x="98"/>
        <item sd="0" x="99"/>
        <item sd="0" x="100"/>
        <item sd="0" x="101"/>
        <item sd="0" x="102"/>
        <item sd="0" x="103"/>
        <item sd="0" x="104"/>
        <item sd="0" x="105"/>
        <item sd="0" x="106"/>
        <item sd="0" x="107"/>
        <item sd="0" x="108"/>
        <item sd="0" x="109"/>
        <item sd="0" x="110"/>
        <item sd="0" x="111"/>
        <item sd="0" x="112"/>
        <item sd="0" x="113"/>
        <item sd="0" x="114"/>
        <item sd="0" x="115"/>
        <item sd="0" x="116"/>
        <item sd="0" x="117"/>
        <item sd="0" x="118"/>
        <item sd="0" x="119"/>
        <item sd="0" x="120"/>
        <item sd="0" x="121"/>
        <item sd="0" x="122"/>
        <item sd="0" x="123"/>
        <item sd="0" x="124"/>
        <item sd="0" x="125"/>
        <item sd="0" x="126"/>
        <item sd="0" x="127"/>
        <item sd="0" x="128"/>
        <item sd="0" x="129"/>
        <item sd="0" x="130"/>
        <item sd="0" x="131"/>
        <item sd="0" x="132"/>
        <item sd="0" x="133"/>
        <item sd="0" x="134"/>
        <item sd="0" x="135"/>
        <item sd="0" x="136"/>
        <item sd="0" x="137"/>
        <item sd="0" x="138"/>
        <item t="default" sd="0"/>
      </items>
    </pivotField>
    <pivotField showAll="0"/>
    <pivotField showAll="0"/>
    <pivotField showAll="0"/>
    <pivotField showAll="0"/>
    <pivotField showAll="0"/>
    <pivotField showAll="0"/>
    <pivotField showAll="0"/>
    <pivotField showAll="0"/>
    <pivotField showAll="0"/>
    <pivotField showAll="0"/>
    <pivotField showAll="0"/>
    <pivotField axis="axisRow" showAll="0">
      <items count="29">
        <item sd="0" x="0"/>
        <item sd="0" x="1"/>
        <item sd="0" x="2"/>
        <item sd="0" x="3"/>
        <item sd="0" x="4"/>
        <item sd="0" x="5"/>
        <item sd="0" x="18"/>
        <item sd="0" x="15"/>
        <item sd="0" x="6"/>
        <item sd="0" x="25"/>
        <item sd="0" x="23"/>
        <item sd="0" m="1" x="26"/>
        <item sd="0" x="21"/>
        <item sd="0" m="1" x="27"/>
        <item sd="0" x="7"/>
        <item sd="0" x="8"/>
        <item sd="0" x="19"/>
        <item sd="0" x="24"/>
        <item sd="0" x="16"/>
        <item sd="0" x="9"/>
        <item sd="0" x="10"/>
        <item sd="0" x="11"/>
        <item sd="0" x="12"/>
        <item sd="0" x="20"/>
        <item sd="0" x="13"/>
        <item sd="0" x="14"/>
        <item sd="0" x="22"/>
        <item sd="0" x="17"/>
        <item t="default" sd="0"/>
      </items>
    </pivotField>
    <pivotField showAll="0"/>
    <pivotField showAll="0"/>
    <pivotField axis="axisRow" showAll="0">
      <items count="131">
        <item x="96"/>
        <item x="56"/>
        <item x="58"/>
        <item x="68"/>
        <item x="62"/>
        <item x="63"/>
        <item x="125"/>
        <item x="42"/>
        <item x="94"/>
        <item x="93"/>
        <item x="57"/>
        <item x="49"/>
        <item x="114"/>
        <item x="71"/>
        <item x="25"/>
        <item x="22"/>
        <item x="50"/>
        <item x="126"/>
        <item x="54"/>
        <item x="118"/>
        <item x="36"/>
        <item x="98"/>
        <item x="102"/>
        <item x="40"/>
        <item x="103"/>
        <item x="5"/>
        <item x="109"/>
        <item x="41"/>
        <item x="19"/>
        <item x="23"/>
        <item x="38"/>
        <item x="29"/>
        <item x="95"/>
        <item x="33"/>
        <item x="48"/>
        <item x="66"/>
        <item x="128"/>
        <item x="129"/>
        <item x="26"/>
        <item x="113"/>
        <item x="101"/>
        <item x="53"/>
        <item x="85"/>
        <item x="69"/>
        <item x="44"/>
        <item x="46"/>
        <item x="64"/>
        <item x="67"/>
        <item x="35"/>
        <item x="92"/>
        <item x="34"/>
        <item x="65"/>
        <item x="123"/>
        <item x="119"/>
        <item x="88"/>
        <item x="100"/>
        <item x="90"/>
        <item x="106"/>
        <item x="74"/>
        <item x="18"/>
        <item x="16"/>
        <item x="17"/>
        <item x="52"/>
        <item x="73"/>
        <item x="13"/>
        <item x="15"/>
        <item x="108"/>
        <item x="107"/>
        <item x="12"/>
        <item x="14"/>
        <item x="11"/>
        <item x="9"/>
        <item x="10"/>
        <item x="72"/>
        <item x="104"/>
        <item x="105"/>
        <item x="60"/>
        <item x="55"/>
        <item x="30"/>
        <item x="84"/>
        <item x="89"/>
        <item x="59"/>
        <item x="91"/>
        <item x="51"/>
        <item x="31"/>
        <item x="45"/>
        <item x="99"/>
        <item x="75"/>
        <item x="115"/>
        <item x="3"/>
        <item x="4"/>
        <item x="6"/>
        <item x="124"/>
        <item x="2"/>
        <item x="43"/>
        <item x="7"/>
        <item x="81"/>
        <item x="47"/>
        <item x="77"/>
        <item x="78"/>
        <item x="76"/>
        <item x="79"/>
        <item x="80"/>
        <item x="28"/>
        <item x="117"/>
        <item x="110"/>
        <item x="111"/>
        <item x="116"/>
        <item x="121"/>
        <item x="122"/>
        <item x="32"/>
        <item x="1"/>
        <item x="8"/>
        <item x="127"/>
        <item x="112"/>
        <item x="27"/>
        <item x="82"/>
        <item x="83"/>
        <item x="87"/>
        <item x="86"/>
        <item x="0"/>
        <item x="120"/>
        <item x="97"/>
        <item x="70"/>
        <item x="61"/>
        <item x="39"/>
        <item x="20"/>
        <item x="24"/>
        <item x="21"/>
        <item x="37"/>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3">
        <item sd="0" x="1"/>
        <item x="0"/>
        <item t="default"/>
      </items>
    </pivotField>
    <pivotField axis="axisRow" showAll="0">
      <items count="3">
        <item sd="0" x="1"/>
        <item sd="0" x="0"/>
        <item t="default"/>
      </items>
    </pivotField>
    <pivotField axis="axisRow" dataField="1" showAll="0">
      <items count="39">
        <item x="1"/>
        <item x="0"/>
        <item x="2"/>
        <item x="21"/>
        <item x="3"/>
        <item x="27"/>
        <item x="25"/>
        <item x="26"/>
        <item x="5"/>
        <item x="4"/>
        <item x="6"/>
        <item x="22"/>
        <item x="23"/>
        <item x="28"/>
        <item x="17"/>
        <item x="9"/>
        <item x="8"/>
        <item x="10"/>
        <item x="11"/>
        <item x="20"/>
        <item x="14"/>
        <item sd="0" x="15"/>
        <item x="24"/>
        <item x="33"/>
        <item x="16"/>
        <item x="12"/>
        <item x="29"/>
        <item x="13"/>
        <item x="18"/>
        <item x="30"/>
        <item x="19"/>
        <item x="32"/>
        <item x="34"/>
        <item x="35"/>
        <item x="31"/>
        <item m="1" x="37"/>
        <item sd="0" x="7"/>
        <item x="36"/>
        <item t="default"/>
      </items>
    </pivotField>
    <pivotField showAll="0"/>
    <pivotField showAll="0"/>
    <pivotField showAll="0"/>
    <pivotField showAll="0"/>
  </pivotFields>
  <rowFields count="6">
    <field x="36"/>
    <field x="37"/>
    <field x="38"/>
    <field x="12"/>
    <field x="0"/>
    <field x="15"/>
  </rowFields>
  <rowItems count="5">
    <i>
      <x/>
    </i>
    <i>
      <x v="1"/>
    </i>
    <i r="1">
      <x/>
    </i>
    <i r="1">
      <x v="1"/>
    </i>
    <i t="grand">
      <x/>
    </i>
  </rowItems>
  <colFields count="1">
    <field x="-2"/>
  </colFields>
  <colItems count="2">
    <i>
      <x/>
    </i>
    <i i="1">
      <x v="1"/>
    </i>
  </colItems>
  <dataFields count="2">
    <dataField name="Cuenta de RADICADO" fld="36" subtotal="count" baseField="0" baseItem="0"/>
    <dataField name="Cuenta de CONTRATO " fld="38" subtotal="count" baseField="0" baseItem="0"/>
  </dataFields>
  <formats count="23">
    <format dxfId="3421">
      <pivotArea type="all" dataOnly="0" outline="0" fieldPosition="0"/>
    </format>
    <format dxfId="3422">
      <pivotArea outline="0" collapsedLevelsAreSubtotals="1" fieldPosition="0"/>
    </format>
    <format dxfId="3423">
      <pivotArea dataOnly="0" labelOnly="1" fieldPosition="0">
        <references count="1">
          <reference field="36" count="0"/>
        </references>
      </pivotArea>
    </format>
    <format dxfId="3424">
      <pivotArea dataOnly="0" labelOnly="1" grandRow="1" outline="0" fieldPosition="0"/>
    </format>
    <format dxfId="3425">
      <pivotArea dataOnly="0" labelOnly="1" fieldPosition="0">
        <references count="2">
          <reference field="36" count="1" selected="0">
            <x v="0"/>
          </reference>
          <reference field="37" count="1">
            <x v="0"/>
          </reference>
        </references>
      </pivotArea>
    </format>
    <format dxfId="3426">
      <pivotArea dataOnly="0" labelOnly="1" fieldPosition="0">
        <references count="2">
          <reference field="36" count="1" selected="0">
            <x v="1"/>
          </reference>
          <reference field="37" count="0"/>
        </references>
      </pivotArea>
    </format>
    <format dxfId="3427">
      <pivotArea field="36" type="button" dataOnly="0" labelOnly="1" outline="0" axis="axisRow" fieldPosition="0"/>
    </format>
    <format dxfId="3428">
      <pivotArea dataOnly="0" labelOnly="1" outline="0" fieldPosition="0">
        <references count="1">
          <reference field="4294967294" count="2">
            <x v="0"/>
            <x v="1"/>
          </reference>
        </references>
      </pivotArea>
    </format>
    <format dxfId="3429">
      <pivotArea type="all" dataOnly="0" outline="0" fieldPosition="0"/>
    </format>
    <format dxfId="3430">
      <pivotArea outline="0" collapsedLevelsAreSubtotals="1" fieldPosition="0"/>
    </format>
    <format dxfId="3431">
      <pivotArea field="36" type="button" dataOnly="0" labelOnly="1" outline="0" axis="axisRow" fieldPosition="0"/>
    </format>
    <format dxfId="3432">
      <pivotArea dataOnly="0" labelOnly="1" fieldPosition="0">
        <references count="1">
          <reference field="36" count="0"/>
        </references>
      </pivotArea>
    </format>
    <format dxfId="3433">
      <pivotArea dataOnly="0" labelOnly="1" grandRow="1" outline="0" fieldPosition="0"/>
    </format>
    <format dxfId="3434">
      <pivotArea dataOnly="0" labelOnly="1" fieldPosition="0">
        <references count="2">
          <reference field="36" count="1" selected="0">
            <x v="0"/>
          </reference>
          <reference field="37" count="1">
            <x v="0"/>
          </reference>
        </references>
      </pivotArea>
    </format>
    <format dxfId="3435">
      <pivotArea dataOnly="0" labelOnly="1" fieldPosition="0">
        <references count="2">
          <reference field="36" count="1" selected="0">
            <x v="1"/>
          </reference>
          <reference field="37" count="0"/>
        </references>
      </pivotArea>
    </format>
    <format dxfId="3436">
      <pivotArea dataOnly="0" labelOnly="1" outline="0" fieldPosition="0">
        <references count="1">
          <reference field="4294967294" count="2">
            <x v="0"/>
            <x v="1"/>
          </reference>
        </references>
      </pivotArea>
    </format>
    <format dxfId="3437">
      <pivotArea grandRow="1" outline="0" collapsedLevelsAreSubtotals="1" fieldPosition="0"/>
    </format>
    <format dxfId="3438">
      <pivotArea dataOnly="0" labelOnly="1" grandRow="1" outline="0" fieldPosition="0"/>
    </format>
    <format dxfId="3439">
      <pivotArea field="36" type="button" dataOnly="0" labelOnly="1" outline="0" axis="axisRow" fieldPosition="0"/>
    </format>
    <format dxfId="3440">
      <pivotArea collapsedLevelsAreSubtotals="1" fieldPosition="0">
        <references count="1">
          <reference field="36" count="1">
            <x v="0"/>
          </reference>
        </references>
      </pivotArea>
    </format>
    <format dxfId="3441">
      <pivotArea collapsedLevelsAreSubtotals="1" fieldPosition="0">
        <references count="1">
          <reference field="36" count="1">
            <x v="1"/>
          </reference>
        </references>
      </pivotArea>
    </format>
    <format dxfId="3442">
      <pivotArea collapsedLevelsAreSubtotals="1" fieldPosition="0">
        <references count="2">
          <reference field="36" count="1" selected="0">
            <x v="1"/>
          </reference>
          <reference field="37" count="1">
            <x v="0"/>
          </reference>
        </references>
      </pivotArea>
    </format>
    <format dxfId="3443">
      <pivotArea collapsedLevelsAreSubtotals="1" fieldPosition="0">
        <references count="2">
          <reference field="36" count="1" selected="0">
            <x v="1"/>
          </reference>
          <reference field="37" count="1">
            <x v="1"/>
          </reference>
        </references>
      </pivotArea>
    </format>
  </formats>
  <chartFormats count="2">
    <chartFormat chart="1" format="0" series="1">
      <pivotArea type="data" outline="0" fieldPosition="0">
        <references count="1">
          <reference field="4294967294" count="1" selected="0">
            <x v="0"/>
          </reference>
        </references>
      </pivotArea>
    </chartFormat>
    <chartFormat chart="1" format="1"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C5536DA-B4B1-49CE-A238-BE42E6AF88BC}" name="TablaDinámica5" cacheId="526"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2">
  <location ref="B2:G31" firstHeaderRow="1" firstDataRow="3" firstDataCol="1"/>
  <pivotFields count="43">
    <pivotField axis="axisRow" showAll="0">
      <items count="14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t="default"/>
      </items>
    </pivotField>
    <pivotField showAll="0"/>
    <pivotField showAll="0"/>
    <pivotField showAll="0"/>
    <pivotField showAll="0"/>
    <pivotField showAll="0"/>
    <pivotField showAll="0"/>
    <pivotField showAll="0"/>
    <pivotField showAll="0"/>
    <pivotField showAll="0"/>
    <pivotField showAll="0"/>
    <pivotField showAll="0"/>
    <pivotField axis="axisRow" showAll="0">
      <items count="29">
        <item sd="0" x="0"/>
        <item sd="0" x="1"/>
        <item sd="0" x="2"/>
        <item sd="0" x="3"/>
        <item sd="0" x="4"/>
        <item sd="0" x="5"/>
        <item sd="0" x="18"/>
        <item sd="0" x="15"/>
        <item sd="0" x="6"/>
        <item sd="0" x="25"/>
        <item sd="0" x="23"/>
        <item sd="0" m="1" x="26"/>
        <item sd="0" x="21"/>
        <item sd="0" m="1" x="27"/>
        <item sd="0" x="7"/>
        <item sd="0" x="8"/>
        <item sd="0" x="19"/>
        <item sd="0" x="24"/>
        <item sd="0" x="16"/>
        <item sd="0" x="9"/>
        <item sd="0" x="10"/>
        <item sd="0" x="11"/>
        <item sd="0" x="12"/>
        <item sd="0" x="20"/>
        <item sd="0" x="13"/>
        <item sd="0" x="14"/>
        <item sd="0" x="22"/>
        <item sd="0" x="17"/>
        <item t="default"/>
      </items>
    </pivotField>
    <pivotField showAll="0"/>
    <pivotField showAll="0"/>
    <pivotField axis="axisRow" showAll="0">
      <items count="131">
        <item x="96"/>
        <item x="56"/>
        <item x="58"/>
        <item x="68"/>
        <item x="62"/>
        <item x="63"/>
        <item x="125"/>
        <item x="42"/>
        <item x="94"/>
        <item x="93"/>
        <item x="57"/>
        <item x="49"/>
        <item x="114"/>
        <item x="71"/>
        <item x="25"/>
        <item x="22"/>
        <item x="50"/>
        <item x="126"/>
        <item x="54"/>
        <item x="118"/>
        <item x="36"/>
        <item x="98"/>
        <item x="102"/>
        <item x="40"/>
        <item x="103"/>
        <item x="5"/>
        <item x="109"/>
        <item x="41"/>
        <item x="19"/>
        <item x="23"/>
        <item x="38"/>
        <item x="29"/>
        <item x="95"/>
        <item x="33"/>
        <item x="48"/>
        <item x="66"/>
        <item x="128"/>
        <item x="129"/>
        <item x="26"/>
        <item x="113"/>
        <item x="101"/>
        <item x="53"/>
        <item x="85"/>
        <item x="69"/>
        <item x="44"/>
        <item x="46"/>
        <item x="64"/>
        <item x="67"/>
        <item x="35"/>
        <item x="92"/>
        <item x="34"/>
        <item x="65"/>
        <item x="123"/>
        <item x="119"/>
        <item x="88"/>
        <item x="100"/>
        <item x="90"/>
        <item x="106"/>
        <item x="74"/>
        <item x="18"/>
        <item x="16"/>
        <item x="17"/>
        <item x="52"/>
        <item x="73"/>
        <item x="13"/>
        <item x="15"/>
        <item x="108"/>
        <item x="107"/>
        <item x="12"/>
        <item x="14"/>
        <item x="11"/>
        <item x="9"/>
        <item x="10"/>
        <item x="72"/>
        <item x="104"/>
        <item x="105"/>
        <item x="60"/>
        <item x="55"/>
        <item x="30"/>
        <item x="84"/>
        <item x="89"/>
        <item x="59"/>
        <item x="91"/>
        <item x="51"/>
        <item x="31"/>
        <item x="45"/>
        <item x="99"/>
        <item x="75"/>
        <item x="115"/>
        <item x="3"/>
        <item x="4"/>
        <item x="6"/>
        <item x="124"/>
        <item x="2"/>
        <item x="43"/>
        <item x="7"/>
        <item x="81"/>
        <item x="47"/>
        <item x="77"/>
        <item x="78"/>
        <item x="76"/>
        <item x="79"/>
        <item x="80"/>
        <item x="28"/>
        <item x="117"/>
        <item x="110"/>
        <item x="111"/>
        <item x="116"/>
        <item x="121"/>
        <item x="122"/>
        <item x="32"/>
        <item x="1"/>
        <item x="8"/>
        <item x="127"/>
        <item x="112"/>
        <item x="27"/>
        <item x="82"/>
        <item x="83"/>
        <item x="87"/>
        <item x="86"/>
        <item x="0"/>
        <item x="120"/>
        <item x="97"/>
        <item x="70"/>
        <item x="61"/>
        <item x="39"/>
        <item x="20"/>
        <item x="24"/>
        <item x="21"/>
        <item x="37"/>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dataField="1" showAll="0">
      <items count="3">
        <item sd="0" x="1"/>
        <item x="0"/>
        <item t="default"/>
      </items>
    </pivotField>
    <pivotField axis="axisCol" showAll="0">
      <items count="3">
        <item x="1"/>
        <item x="0"/>
        <item t="default"/>
      </items>
    </pivotField>
    <pivotField showAll="0"/>
    <pivotField showAll="0"/>
    <pivotField showAll="0"/>
    <pivotField showAll="0"/>
    <pivotField showAll="0"/>
  </pivotFields>
  <rowFields count="3">
    <field x="12"/>
    <field x="0"/>
    <field x="15"/>
  </rowFields>
  <rowItems count="27">
    <i>
      <x/>
    </i>
    <i>
      <x v="1"/>
    </i>
    <i>
      <x v="2"/>
    </i>
    <i>
      <x v="3"/>
    </i>
    <i>
      <x v="4"/>
    </i>
    <i>
      <x v="5"/>
    </i>
    <i>
      <x v="6"/>
    </i>
    <i>
      <x v="7"/>
    </i>
    <i>
      <x v="8"/>
    </i>
    <i>
      <x v="9"/>
    </i>
    <i>
      <x v="10"/>
    </i>
    <i>
      <x v="12"/>
    </i>
    <i>
      <x v="14"/>
    </i>
    <i>
      <x v="15"/>
    </i>
    <i>
      <x v="16"/>
    </i>
    <i>
      <x v="17"/>
    </i>
    <i>
      <x v="18"/>
    </i>
    <i>
      <x v="19"/>
    </i>
    <i>
      <x v="20"/>
    </i>
    <i>
      <x v="21"/>
    </i>
    <i>
      <x v="22"/>
    </i>
    <i>
      <x v="23"/>
    </i>
    <i>
      <x v="24"/>
    </i>
    <i>
      <x v="25"/>
    </i>
    <i>
      <x v="26"/>
    </i>
    <i>
      <x v="27"/>
    </i>
    <i t="grand">
      <x/>
    </i>
  </rowItems>
  <colFields count="2">
    <field x="36"/>
    <field x="37"/>
  </colFields>
  <colItems count="5">
    <i>
      <x/>
    </i>
    <i>
      <x v="1"/>
      <x/>
    </i>
    <i r="1">
      <x v="1"/>
    </i>
    <i t="default">
      <x v="1"/>
    </i>
    <i t="grand">
      <x/>
    </i>
  </colItems>
  <dataFields count="1">
    <dataField name="Cuenta de RADICADO" fld="36" subtotal="count" baseField="0" baseItem="0"/>
  </dataFields>
  <formats count="150">
    <format dxfId="3277">
      <pivotArea field="36" type="button" dataOnly="0" labelOnly="1" outline="0" axis="axisCol" fieldPosition="0"/>
    </format>
    <format dxfId="3278">
      <pivotArea type="all" dataOnly="0" outline="0" fieldPosition="0"/>
    </format>
    <format dxfId="3279">
      <pivotArea outline="0" collapsedLevelsAreSubtotals="1" fieldPosition="0"/>
    </format>
    <format dxfId="3280">
      <pivotArea type="origin" dataOnly="0" labelOnly="1" outline="0" fieldPosition="0"/>
    </format>
    <format dxfId="3281">
      <pivotArea field="36" type="button" dataOnly="0" labelOnly="1" outline="0" axis="axisCol" fieldPosition="0"/>
    </format>
    <format dxfId="3282">
      <pivotArea type="topRight" dataOnly="0" labelOnly="1" outline="0" fieldPosition="0"/>
    </format>
    <format dxfId="3283">
      <pivotArea field="12" type="button" dataOnly="0" labelOnly="1" outline="0" axis="axisRow" fieldPosition="0"/>
    </format>
    <format dxfId="3284">
      <pivotArea dataOnly="0" labelOnly="1" fieldPosition="0">
        <references count="1">
          <reference field="12" count="0"/>
        </references>
      </pivotArea>
    </format>
    <format dxfId="3285">
      <pivotArea dataOnly="0" labelOnly="1" grandRow="1" outline="0" fieldPosition="0"/>
    </format>
    <format dxfId="3286">
      <pivotArea dataOnly="0" labelOnly="1" fieldPosition="0">
        <references count="1">
          <reference field="36" count="0"/>
        </references>
      </pivotArea>
    </format>
    <format dxfId="3287">
      <pivotArea dataOnly="0" labelOnly="1" grandCol="1" outline="0" fieldPosition="0"/>
    </format>
    <format dxfId="3288">
      <pivotArea type="all" dataOnly="0" outline="0" fieldPosition="0"/>
    </format>
    <format dxfId="3289">
      <pivotArea outline="0" collapsedLevelsAreSubtotals="1" fieldPosition="0"/>
    </format>
    <format dxfId="3290">
      <pivotArea type="origin" dataOnly="0" labelOnly="1" outline="0" fieldPosition="0"/>
    </format>
    <format dxfId="3291">
      <pivotArea field="36" type="button" dataOnly="0" labelOnly="1" outline="0" axis="axisCol" fieldPosition="0"/>
    </format>
    <format dxfId="3292">
      <pivotArea type="topRight" dataOnly="0" labelOnly="1" outline="0" fieldPosition="0"/>
    </format>
    <format dxfId="3293">
      <pivotArea field="12" type="button" dataOnly="0" labelOnly="1" outline="0" axis="axisRow" fieldPosition="0"/>
    </format>
    <format dxfId="3294">
      <pivotArea dataOnly="0" labelOnly="1" fieldPosition="0">
        <references count="1">
          <reference field="12" count="0"/>
        </references>
      </pivotArea>
    </format>
    <format dxfId="3295">
      <pivotArea dataOnly="0" labelOnly="1" grandRow="1" outline="0" fieldPosition="0"/>
    </format>
    <format dxfId="3296">
      <pivotArea dataOnly="0" labelOnly="1" fieldPosition="0">
        <references count="1">
          <reference field="36" count="0"/>
        </references>
      </pivotArea>
    </format>
    <format dxfId="3297">
      <pivotArea dataOnly="0" labelOnly="1" grandCol="1" outline="0" fieldPosition="0"/>
    </format>
    <format dxfId="3298">
      <pivotArea type="all" dataOnly="0" outline="0" fieldPosition="0"/>
    </format>
    <format dxfId="3299">
      <pivotArea outline="0" collapsedLevelsAreSubtotals="1" fieldPosition="0"/>
    </format>
    <format dxfId="3300">
      <pivotArea type="origin" dataOnly="0" labelOnly="1" outline="0" fieldPosition="0"/>
    </format>
    <format dxfId="3301">
      <pivotArea field="36" type="button" dataOnly="0" labelOnly="1" outline="0" axis="axisCol" fieldPosition="0"/>
    </format>
    <format dxfId="3302">
      <pivotArea field="12" type="button" dataOnly="0" labelOnly="1" outline="0" axis="axisRow" fieldPosition="0"/>
    </format>
    <format dxfId="3303">
      <pivotArea dataOnly="0" labelOnly="1" fieldPosition="0">
        <references count="1">
          <reference field="12" count="0"/>
        </references>
      </pivotArea>
    </format>
    <format dxfId="3304">
      <pivotArea dataOnly="0" labelOnly="1" grandRow="1" outline="0" fieldPosition="0"/>
    </format>
    <format dxfId="3305">
      <pivotArea dataOnly="0" labelOnly="1" fieldPosition="0">
        <references count="1">
          <reference field="36" count="0"/>
        </references>
      </pivotArea>
    </format>
    <format dxfId="3306">
      <pivotArea dataOnly="0" labelOnly="1" grandCol="1" outline="0" fieldPosition="0"/>
    </format>
    <format dxfId="3307">
      <pivotArea dataOnly="0" labelOnly="1" fieldPosition="0">
        <references count="1">
          <reference field="12" count="0"/>
        </references>
      </pivotArea>
    </format>
    <format dxfId="3308">
      <pivotArea dataOnly="0" labelOnly="1" fieldPosition="0">
        <references count="1">
          <reference field="12" count="0"/>
        </references>
      </pivotArea>
    </format>
    <format dxfId="3309">
      <pivotArea collapsedLevelsAreSubtotals="1" fieldPosition="0">
        <references count="1">
          <reference field="12" count="1">
            <x v="0"/>
          </reference>
        </references>
      </pivotArea>
    </format>
    <format dxfId="3310">
      <pivotArea collapsedLevelsAreSubtotals="1" fieldPosition="0">
        <references count="1">
          <reference field="12" count="1">
            <x v="1"/>
          </reference>
        </references>
      </pivotArea>
    </format>
    <format dxfId="3311">
      <pivotArea collapsedLevelsAreSubtotals="1" fieldPosition="0">
        <references count="1">
          <reference field="12" count="1">
            <x v="2"/>
          </reference>
        </references>
      </pivotArea>
    </format>
    <format dxfId="3312">
      <pivotArea collapsedLevelsAreSubtotals="1" fieldPosition="0">
        <references count="1">
          <reference field="12" count="1">
            <x v="3"/>
          </reference>
        </references>
      </pivotArea>
    </format>
    <format dxfId="3313">
      <pivotArea collapsedLevelsAreSubtotals="1" fieldPosition="0">
        <references count="1">
          <reference field="12" count="1">
            <x v="4"/>
          </reference>
        </references>
      </pivotArea>
    </format>
    <format dxfId="3314">
      <pivotArea collapsedLevelsAreSubtotals="1" fieldPosition="0">
        <references count="1">
          <reference field="12" count="1">
            <x v="5"/>
          </reference>
        </references>
      </pivotArea>
    </format>
    <format dxfId="3315">
      <pivotArea collapsedLevelsAreSubtotals="1" fieldPosition="0">
        <references count="1">
          <reference field="12" count="1">
            <x v="6"/>
          </reference>
        </references>
      </pivotArea>
    </format>
    <format dxfId="3316">
      <pivotArea collapsedLevelsAreSubtotals="1" fieldPosition="0">
        <references count="1">
          <reference field="12" count="1">
            <x v="7"/>
          </reference>
        </references>
      </pivotArea>
    </format>
    <format dxfId="3317">
      <pivotArea collapsedLevelsAreSubtotals="1" fieldPosition="0">
        <references count="1">
          <reference field="12" count="1">
            <x v="8"/>
          </reference>
        </references>
      </pivotArea>
    </format>
    <format dxfId="3318">
      <pivotArea collapsedLevelsAreSubtotals="1" fieldPosition="0">
        <references count="1">
          <reference field="12" count="1">
            <x v="9"/>
          </reference>
        </references>
      </pivotArea>
    </format>
    <format dxfId="3319">
      <pivotArea collapsedLevelsAreSubtotals="1" fieldPosition="0">
        <references count="1">
          <reference field="12" count="1">
            <x v="10"/>
          </reference>
        </references>
      </pivotArea>
    </format>
    <format dxfId="3320">
      <pivotArea collapsedLevelsAreSubtotals="1" fieldPosition="0">
        <references count="1">
          <reference field="12" count="1">
            <x v="11"/>
          </reference>
        </references>
      </pivotArea>
    </format>
    <format dxfId="3321">
      <pivotArea collapsedLevelsAreSubtotals="1" fieldPosition="0">
        <references count="1">
          <reference field="12" count="1">
            <x v="12"/>
          </reference>
        </references>
      </pivotArea>
    </format>
    <format dxfId="3322">
      <pivotArea collapsedLevelsAreSubtotals="1" fieldPosition="0">
        <references count="1">
          <reference field="12" count="1">
            <x v="13"/>
          </reference>
        </references>
      </pivotArea>
    </format>
    <format dxfId="3323">
      <pivotArea collapsedLevelsAreSubtotals="1" fieldPosition="0">
        <references count="1">
          <reference field="12" count="1">
            <x v="14"/>
          </reference>
        </references>
      </pivotArea>
    </format>
    <format dxfId="3324">
      <pivotArea collapsedLevelsAreSubtotals="1" fieldPosition="0">
        <references count="1">
          <reference field="12" count="1">
            <x v="15"/>
          </reference>
        </references>
      </pivotArea>
    </format>
    <format dxfId="3325">
      <pivotArea collapsedLevelsAreSubtotals="1" fieldPosition="0">
        <references count="1">
          <reference field="12" count="1">
            <x v="16"/>
          </reference>
        </references>
      </pivotArea>
    </format>
    <format dxfId="3326">
      <pivotArea collapsedLevelsAreSubtotals="1" fieldPosition="0">
        <references count="1">
          <reference field="12" count="1">
            <x v="17"/>
          </reference>
        </references>
      </pivotArea>
    </format>
    <format dxfId="3327">
      <pivotArea collapsedLevelsAreSubtotals="1" fieldPosition="0">
        <references count="1">
          <reference field="12" count="1">
            <x v="18"/>
          </reference>
        </references>
      </pivotArea>
    </format>
    <format dxfId="3328">
      <pivotArea collapsedLevelsAreSubtotals="1" fieldPosition="0">
        <references count="1">
          <reference field="12" count="1">
            <x v="19"/>
          </reference>
        </references>
      </pivotArea>
    </format>
    <format dxfId="3329">
      <pivotArea collapsedLevelsAreSubtotals="1" fieldPosition="0">
        <references count="1">
          <reference field="12" count="1">
            <x v="20"/>
          </reference>
        </references>
      </pivotArea>
    </format>
    <format dxfId="3330">
      <pivotArea collapsedLevelsAreSubtotals="1" fieldPosition="0">
        <references count="1">
          <reference field="12" count="1">
            <x v="21"/>
          </reference>
        </references>
      </pivotArea>
    </format>
    <format dxfId="3331">
      <pivotArea collapsedLevelsAreSubtotals="1" fieldPosition="0">
        <references count="1">
          <reference field="12" count="1">
            <x v="22"/>
          </reference>
        </references>
      </pivotArea>
    </format>
    <format dxfId="3332">
      <pivotArea collapsedLevelsAreSubtotals="1" fieldPosition="0">
        <references count="1">
          <reference field="12" count="1">
            <x v="23"/>
          </reference>
        </references>
      </pivotArea>
    </format>
    <format dxfId="3333">
      <pivotArea collapsedLevelsAreSubtotals="1" fieldPosition="0">
        <references count="1">
          <reference field="12" count="1">
            <x v="24"/>
          </reference>
        </references>
      </pivotArea>
    </format>
    <format dxfId="3334">
      <pivotArea collapsedLevelsAreSubtotals="1" fieldPosition="0">
        <references count="1">
          <reference field="12" count="1">
            <x v="25"/>
          </reference>
        </references>
      </pivotArea>
    </format>
    <format dxfId="3335">
      <pivotArea collapsedLevelsAreSubtotals="1" fieldPosition="0">
        <references count="1">
          <reference field="12" count="1">
            <x v="26"/>
          </reference>
        </references>
      </pivotArea>
    </format>
    <format dxfId="3336">
      <pivotArea collapsedLevelsAreSubtotals="1" fieldPosition="0">
        <references count="1">
          <reference field="12" count="1">
            <x v="27"/>
          </reference>
        </references>
      </pivotArea>
    </format>
    <format dxfId="3337">
      <pivotArea collapsedLevelsAreSubtotals="1" fieldPosition="0">
        <references count="1">
          <reference field="12" count="1">
            <x v="0"/>
          </reference>
        </references>
      </pivotArea>
    </format>
    <format dxfId="3338">
      <pivotArea collapsedLevelsAreSubtotals="1" fieldPosition="0">
        <references count="1">
          <reference field="12" count="1">
            <x v="1"/>
          </reference>
        </references>
      </pivotArea>
    </format>
    <format dxfId="3339">
      <pivotArea collapsedLevelsAreSubtotals="1" fieldPosition="0">
        <references count="1">
          <reference field="12" count="1">
            <x v="2"/>
          </reference>
        </references>
      </pivotArea>
    </format>
    <format dxfId="3340">
      <pivotArea collapsedLevelsAreSubtotals="1" fieldPosition="0">
        <references count="1">
          <reference field="12" count="1">
            <x v="3"/>
          </reference>
        </references>
      </pivotArea>
    </format>
    <format dxfId="3341">
      <pivotArea collapsedLevelsAreSubtotals="1" fieldPosition="0">
        <references count="1">
          <reference field="12" count="1">
            <x v="4"/>
          </reference>
        </references>
      </pivotArea>
    </format>
    <format dxfId="3342">
      <pivotArea collapsedLevelsAreSubtotals="1" fieldPosition="0">
        <references count="1">
          <reference field="12" count="1">
            <x v="5"/>
          </reference>
        </references>
      </pivotArea>
    </format>
    <format dxfId="3343">
      <pivotArea collapsedLevelsAreSubtotals="1" fieldPosition="0">
        <references count="1">
          <reference field="12" count="1">
            <x v="6"/>
          </reference>
        </references>
      </pivotArea>
    </format>
    <format dxfId="3344">
      <pivotArea collapsedLevelsAreSubtotals="1" fieldPosition="0">
        <references count="1">
          <reference field="12" count="1">
            <x v="7"/>
          </reference>
        </references>
      </pivotArea>
    </format>
    <format dxfId="3345">
      <pivotArea collapsedLevelsAreSubtotals="1" fieldPosition="0">
        <references count="1">
          <reference field="12" count="1">
            <x v="8"/>
          </reference>
        </references>
      </pivotArea>
    </format>
    <format dxfId="3346">
      <pivotArea collapsedLevelsAreSubtotals="1" fieldPosition="0">
        <references count="1">
          <reference field="12" count="1">
            <x v="9"/>
          </reference>
        </references>
      </pivotArea>
    </format>
    <format dxfId="3347">
      <pivotArea collapsedLevelsAreSubtotals="1" fieldPosition="0">
        <references count="1">
          <reference field="12" count="1">
            <x v="10"/>
          </reference>
        </references>
      </pivotArea>
    </format>
    <format dxfId="3348">
      <pivotArea collapsedLevelsAreSubtotals="1" fieldPosition="0">
        <references count="1">
          <reference field="12" count="1">
            <x v="11"/>
          </reference>
        </references>
      </pivotArea>
    </format>
    <format dxfId="3349">
      <pivotArea collapsedLevelsAreSubtotals="1" fieldPosition="0">
        <references count="1">
          <reference field="12" count="1">
            <x v="12"/>
          </reference>
        </references>
      </pivotArea>
    </format>
    <format dxfId="3350">
      <pivotArea collapsedLevelsAreSubtotals="1" fieldPosition="0">
        <references count="1">
          <reference field="12" count="1">
            <x v="13"/>
          </reference>
        </references>
      </pivotArea>
    </format>
    <format dxfId="3351">
      <pivotArea collapsedLevelsAreSubtotals="1" fieldPosition="0">
        <references count="1">
          <reference field="12" count="1">
            <x v="14"/>
          </reference>
        </references>
      </pivotArea>
    </format>
    <format dxfId="3352">
      <pivotArea collapsedLevelsAreSubtotals="1" fieldPosition="0">
        <references count="1">
          <reference field="12" count="1">
            <x v="15"/>
          </reference>
        </references>
      </pivotArea>
    </format>
    <format dxfId="3353">
      <pivotArea collapsedLevelsAreSubtotals="1" fieldPosition="0">
        <references count="1">
          <reference field="12" count="1">
            <x v="16"/>
          </reference>
        </references>
      </pivotArea>
    </format>
    <format dxfId="3354">
      <pivotArea collapsedLevelsAreSubtotals="1" fieldPosition="0">
        <references count="1">
          <reference field="12" count="1">
            <x v="17"/>
          </reference>
        </references>
      </pivotArea>
    </format>
    <format dxfId="3355">
      <pivotArea collapsedLevelsAreSubtotals="1" fieldPosition="0">
        <references count="1">
          <reference field="12" count="1">
            <x v="18"/>
          </reference>
        </references>
      </pivotArea>
    </format>
    <format dxfId="3356">
      <pivotArea collapsedLevelsAreSubtotals="1" fieldPosition="0">
        <references count="1">
          <reference field="12" count="1">
            <x v="19"/>
          </reference>
        </references>
      </pivotArea>
    </format>
    <format dxfId="3357">
      <pivotArea collapsedLevelsAreSubtotals="1" fieldPosition="0">
        <references count="1">
          <reference field="12" count="1">
            <x v="20"/>
          </reference>
        </references>
      </pivotArea>
    </format>
    <format dxfId="3358">
      <pivotArea collapsedLevelsAreSubtotals="1" fieldPosition="0">
        <references count="1">
          <reference field="12" count="1">
            <x v="21"/>
          </reference>
        </references>
      </pivotArea>
    </format>
    <format dxfId="3359">
      <pivotArea collapsedLevelsAreSubtotals="1" fieldPosition="0">
        <references count="1">
          <reference field="12" count="1">
            <x v="22"/>
          </reference>
        </references>
      </pivotArea>
    </format>
    <format dxfId="3360">
      <pivotArea collapsedLevelsAreSubtotals="1" fieldPosition="0">
        <references count="1">
          <reference field="12" count="1">
            <x v="23"/>
          </reference>
        </references>
      </pivotArea>
    </format>
    <format dxfId="3361">
      <pivotArea collapsedLevelsAreSubtotals="1" fieldPosition="0">
        <references count="1">
          <reference field="12" count="1">
            <x v="24"/>
          </reference>
        </references>
      </pivotArea>
    </format>
    <format dxfId="3362">
      <pivotArea collapsedLevelsAreSubtotals="1" fieldPosition="0">
        <references count="1">
          <reference field="12" count="1">
            <x v="25"/>
          </reference>
        </references>
      </pivotArea>
    </format>
    <format dxfId="3363">
      <pivotArea collapsedLevelsAreSubtotals="1" fieldPosition="0">
        <references count="1">
          <reference field="12" count="1">
            <x v="26"/>
          </reference>
        </references>
      </pivotArea>
    </format>
    <format dxfId="3364">
      <pivotArea collapsedLevelsAreSubtotals="1" fieldPosition="0">
        <references count="1">
          <reference field="12" count="1">
            <x v="27"/>
          </reference>
        </references>
      </pivotArea>
    </format>
    <format dxfId="3365">
      <pivotArea dataOnly="0" labelOnly="1" fieldPosition="0">
        <references count="1">
          <reference field="12" count="0"/>
        </references>
      </pivotArea>
    </format>
    <format dxfId="3366">
      <pivotArea dataOnly="0" labelOnly="1" fieldPosition="0">
        <references count="1">
          <reference field="36" count="0"/>
        </references>
      </pivotArea>
    </format>
    <format dxfId="3367">
      <pivotArea dataOnly="0" labelOnly="1" grandCol="1" outline="0" fieldPosition="0"/>
    </format>
    <format dxfId="3368">
      <pivotArea type="origin" dataOnly="0" labelOnly="1" outline="0" fieldPosition="0"/>
    </format>
    <format dxfId="3369">
      <pivotArea field="36" type="button" dataOnly="0" labelOnly="1" outline="0" axis="axisCol" fieldPosition="0"/>
    </format>
    <format dxfId="3370">
      <pivotArea field="12" type="button" dataOnly="0" labelOnly="1" outline="0" axis="axisRow" fieldPosition="0"/>
    </format>
    <format dxfId="3371">
      <pivotArea dataOnly="0" labelOnly="1" fieldPosition="0">
        <references count="1">
          <reference field="36" count="0"/>
        </references>
      </pivotArea>
    </format>
    <format dxfId="3372">
      <pivotArea dataOnly="0" labelOnly="1" grandCol="1" outline="0" fieldPosition="0"/>
    </format>
    <format dxfId="3373">
      <pivotArea outline="0" collapsedLevelsAreSubtotals="1" fieldPosition="0"/>
    </format>
    <format dxfId="3374">
      <pivotArea dataOnly="0" labelOnly="1" fieldPosition="0">
        <references count="1">
          <reference field="12" count="0"/>
        </references>
      </pivotArea>
    </format>
    <format dxfId="3375">
      <pivotArea dataOnly="0" labelOnly="1" grandRow="1" outline="0" fieldPosition="0"/>
    </format>
    <format dxfId="3376">
      <pivotArea dataOnly="0" labelOnly="1" grandRow="1" outline="0" fieldPosition="0"/>
    </format>
    <format dxfId="3377">
      <pivotArea grandRow="1" outline="0" collapsedLevelsAreSubtotals="1" fieldPosition="0"/>
    </format>
    <format dxfId="3378">
      <pivotArea dataOnly="0" labelOnly="1" fieldPosition="0">
        <references count="2">
          <reference field="36" count="1" selected="0">
            <x v="1"/>
          </reference>
          <reference field="37" count="0"/>
        </references>
      </pivotArea>
    </format>
    <format dxfId="3379">
      <pivotArea dataOnly="0" outline="0" fieldPosition="0">
        <references count="1">
          <reference field="36" count="1">
            <x v="0"/>
          </reference>
        </references>
      </pivotArea>
    </format>
    <format dxfId="3380">
      <pivotArea type="origin" dataOnly="0" labelOnly="1" outline="0" fieldPosition="0"/>
    </format>
    <format dxfId="3381">
      <pivotArea field="36" type="button" dataOnly="0" labelOnly="1" outline="0" axis="axisCol" fieldPosition="0"/>
    </format>
    <format dxfId="3382">
      <pivotArea field="12" type="button" dataOnly="0" labelOnly="1" outline="0" axis="axisRow" fieldPosition="0"/>
    </format>
    <format dxfId="3383">
      <pivotArea dataOnly="0" labelOnly="1" fieldPosition="0">
        <references count="1">
          <reference field="36" count="0"/>
        </references>
      </pivotArea>
    </format>
    <format dxfId="3384">
      <pivotArea dataOnly="0" labelOnly="1" fieldPosition="0">
        <references count="1">
          <reference field="36" count="1" defaultSubtotal="1">
            <x v="1"/>
          </reference>
        </references>
      </pivotArea>
    </format>
    <format dxfId="3385">
      <pivotArea dataOnly="0" labelOnly="1" grandCol="1" outline="0" fieldPosition="0"/>
    </format>
    <format dxfId="3386">
      <pivotArea dataOnly="0" labelOnly="1" fieldPosition="0">
        <references count="2">
          <reference field="36" count="1" selected="0">
            <x v="1"/>
          </reference>
          <reference field="37" count="0"/>
        </references>
      </pivotArea>
    </format>
    <format dxfId="3387">
      <pivotArea field="36" grandRow="1" outline="0" collapsedLevelsAreSubtotals="1" axis="axisCol" fieldPosition="0">
        <references count="1">
          <reference field="36" count="1" selected="0">
            <x v="0"/>
          </reference>
        </references>
      </pivotArea>
    </format>
    <format dxfId="3388">
      <pivotArea field="36" grandRow="1" outline="0" collapsedLevelsAreSubtotals="1" axis="axisCol" fieldPosition="0">
        <references count="1">
          <reference field="36" count="1" selected="0" defaultSubtotal="1">
            <x v="1"/>
          </reference>
        </references>
      </pivotArea>
    </format>
    <format dxfId="3389">
      <pivotArea collapsedLevelsAreSubtotals="1" fieldPosition="0">
        <references count="3">
          <reference field="12" count="1">
            <x v="0"/>
          </reference>
          <reference field="36" count="1" selected="0">
            <x v="1"/>
          </reference>
          <reference field="37" count="0" selected="0"/>
        </references>
      </pivotArea>
    </format>
    <format dxfId="3390">
      <pivotArea collapsedLevelsAreSubtotals="1" fieldPosition="0">
        <references count="3">
          <reference field="12" count="1">
            <x v="1"/>
          </reference>
          <reference field="36" count="1" selected="0">
            <x v="1"/>
          </reference>
          <reference field="37" count="0" selected="0"/>
        </references>
      </pivotArea>
    </format>
    <format dxfId="3391">
      <pivotArea collapsedLevelsAreSubtotals="1" fieldPosition="0">
        <references count="3">
          <reference field="12" count="1">
            <x v="2"/>
          </reference>
          <reference field="36" count="1" selected="0">
            <x v="1"/>
          </reference>
          <reference field="37" count="0" selected="0"/>
        </references>
      </pivotArea>
    </format>
    <format dxfId="3392">
      <pivotArea collapsedLevelsAreSubtotals="1" fieldPosition="0">
        <references count="3">
          <reference field="12" count="1">
            <x v="3"/>
          </reference>
          <reference field="36" count="1" selected="0">
            <x v="1"/>
          </reference>
          <reference field="37" count="0" selected="0"/>
        </references>
      </pivotArea>
    </format>
    <format dxfId="3393">
      <pivotArea collapsedLevelsAreSubtotals="1" fieldPosition="0">
        <references count="3">
          <reference field="12" count="1">
            <x v="4"/>
          </reference>
          <reference field="36" count="1" selected="0">
            <x v="1"/>
          </reference>
          <reference field="37" count="0" selected="0"/>
        </references>
      </pivotArea>
    </format>
    <format dxfId="3394">
      <pivotArea collapsedLevelsAreSubtotals="1" fieldPosition="0">
        <references count="3">
          <reference field="12" count="1">
            <x v="5"/>
          </reference>
          <reference field="36" count="1" selected="0">
            <x v="1"/>
          </reference>
          <reference field="37" count="0" selected="0"/>
        </references>
      </pivotArea>
    </format>
    <format dxfId="3395">
      <pivotArea collapsedLevelsAreSubtotals="1" fieldPosition="0">
        <references count="3">
          <reference field="12" count="1">
            <x v="6"/>
          </reference>
          <reference field="36" count="1" selected="0">
            <x v="1"/>
          </reference>
          <reference field="37" count="0" selected="0"/>
        </references>
      </pivotArea>
    </format>
    <format dxfId="3396">
      <pivotArea collapsedLevelsAreSubtotals="1" fieldPosition="0">
        <references count="3">
          <reference field="12" count="1">
            <x v="7"/>
          </reference>
          <reference field="36" count="1" selected="0">
            <x v="1"/>
          </reference>
          <reference field="37" count="0" selected="0"/>
        </references>
      </pivotArea>
    </format>
    <format dxfId="3397">
      <pivotArea collapsedLevelsAreSubtotals="1" fieldPosition="0">
        <references count="3">
          <reference field="12" count="1">
            <x v="8"/>
          </reference>
          <reference field="36" count="1" selected="0">
            <x v="1"/>
          </reference>
          <reference field="37" count="0" selected="0"/>
        </references>
      </pivotArea>
    </format>
    <format dxfId="3398">
      <pivotArea collapsedLevelsAreSubtotals="1" fieldPosition="0">
        <references count="3">
          <reference field="12" count="1">
            <x v="9"/>
          </reference>
          <reference field="36" count="1" selected="0">
            <x v="1"/>
          </reference>
          <reference field="37" count="0" selected="0"/>
        </references>
      </pivotArea>
    </format>
    <format dxfId="3399">
      <pivotArea collapsedLevelsAreSubtotals="1" fieldPosition="0">
        <references count="3">
          <reference field="12" count="1">
            <x v="10"/>
          </reference>
          <reference field="36" count="1" selected="0">
            <x v="1"/>
          </reference>
          <reference field="37" count="0" selected="0"/>
        </references>
      </pivotArea>
    </format>
    <format dxfId="3400">
      <pivotArea collapsedLevelsAreSubtotals="1" fieldPosition="0">
        <references count="3">
          <reference field="12" count="1">
            <x v="11"/>
          </reference>
          <reference field="36" count="1" selected="0">
            <x v="1"/>
          </reference>
          <reference field="37" count="0" selected="0"/>
        </references>
      </pivotArea>
    </format>
    <format dxfId="3401">
      <pivotArea collapsedLevelsAreSubtotals="1" fieldPosition="0">
        <references count="3">
          <reference field="12" count="1">
            <x v="12"/>
          </reference>
          <reference field="36" count="1" selected="0">
            <x v="1"/>
          </reference>
          <reference field="37" count="0" selected="0"/>
        </references>
      </pivotArea>
    </format>
    <format dxfId="3402">
      <pivotArea collapsedLevelsAreSubtotals="1" fieldPosition="0">
        <references count="3">
          <reference field="12" count="1">
            <x v="13"/>
          </reference>
          <reference field="36" count="1" selected="0">
            <x v="1"/>
          </reference>
          <reference field="37" count="0" selected="0"/>
        </references>
      </pivotArea>
    </format>
    <format dxfId="3403">
      <pivotArea collapsedLevelsAreSubtotals="1" fieldPosition="0">
        <references count="3">
          <reference field="12" count="1">
            <x v="14"/>
          </reference>
          <reference field="36" count="1" selected="0">
            <x v="1"/>
          </reference>
          <reference field="37" count="0" selected="0"/>
        </references>
      </pivotArea>
    </format>
    <format dxfId="3404">
      <pivotArea collapsedLevelsAreSubtotals="1" fieldPosition="0">
        <references count="3">
          <reference field="12" count="1">
            <x v="15"/>
          </reference>
          <reference field="36" count="1" selected="0">
            <x v="1"/>
          </reference>
          <reference field="37" count="0" selected="0"/>
        </references>
      </pivotArea>
    </format>
    <format dxfId="3405">
      <pivotArea collapsedLevelsAreSubtotals="1" fieldPosition="0">
        <references count="3">
          <reference field="12" count="1">
            <x v="16"/>
          </reference>
          <reference field="36" count="1" selected="0">
            <x v="1"/>
          </reference>
          <reference field="37" count="0" selected="0"/>
        </references>
      </pivotArea>
    </format>
    <format dxfId="3406">
      <pivotArea collapsedLevelsAreSubtotals="1" fieldPosition="0">
        <references count="3">
          <reference field="12" count="1">
            <x v="17"/>
          </reference>
          <reference field="36" count="1" selected="0">
            <x v="1"/>
          </reference>
          <reference field="37" count="0" selected="0"/>
        </references>
      </pivotArea>
    </format>
    <format dxfId="3407">
      <pivotArea collapsedLevelsAreSubtotals="1" fieldPosition="0">
        <references count="3">
          <reference field="12" count="1">
            <x v="18"/>
          </reference>
          <reference field="36" count="1" selected="0">
            <x v="1"/>
          </reference>
          <reference field="37" count="0" selected="0"/>
        </references>
      </pivotArea>
    </format>
    <format dxfId="3408">
      <pivotArea collapsedLevelsAreSubtotals="1" fieldPosition="0">
        <references count="3">
          <reference field="12" count="1">
            <x v="19"/>
          </reference>
          <reference field="36" count="1" selected="0">
            <x v="1"/>
          </reference>
          <reference field="37" count="0" selected="0"/>
        </references>
      </pivotArea>
    </format>
    <format dxfId="3409">
      <pivotArea collapsedLevelsAreSubtotals="1" fieldPosition="0">
        <references count="3">
          <reference field="12" count="1">
            <x v="20"/>
          </reference>
          <reference field="36" count="1" selected="0">
            <x v="1"/>
          </reference>
          <reference field="37" count="0" selected="0"/>
        </references>
      </pivotArea>
    </format>
    <format dxfId="3410">
      <pivotArea collapsedLevelsAreSubtotals="1" fieldPosition="0">
        <references count="3">
          <reference field="12" count="1">
            <x v="21"/>
          </reference>
          <reference field="36" count="1" selected="0">
            <x v="1"/>
          </reference>
          <reference field="37" count="0" selected="0"/>
        </references>
      </pivotArea>
    </format>
    <format dxfId="3411">
      <pivotArea collapsedLevelsAreSubtotals="1" fieldPosition="0">
        <references count="3">
          <reference field="12" count="1">
            <x v="22"/>
          </reference>
          <reference field="36" count="1" selected="0">
            <x v="1"/>
          </reference>
          <reference field="37" count="0" selected="0"/>
        </references>
      </pivotArea>
    </format>
    <format dxfId="3412">
      <pivotArea collapsedLevelsAreSubtotals="1" fieldPosition="0">
        <references count="3">
          <reference field="12" count="1">
            <x v="23"/>
          </reference>
          <reference field="36" count="1" selected="0">
            <x v="1"/>
          </reference>
          <reference field="37" count="0" selected="0"/>
        </references>
      </pivotArea>
    </format>
    <format dxfId="3413">
      <pivotArea collapsedLevelsAreSubtotals="1" fieldPosition="0">
        <references count="3">
          <reference field="12" count="1">
            <x v="24"/>
          </reference>
          <reference field="36" count="1" selected="0">
            <x v="1"/>
          </reference>
          <reference field="37" count="0" selected="0"/>
        </references>
      </pivotArea>
    </format>
    <format dxfId="3414">
      <pivotArea collapsedLevelsAreSubtotals="1" fieldPosition="0">
        <references count="3">
          <reference field="12" count="1">
            <x v="25"/>
          </reference>
          <reference field="36" count="1" selected="0">
            <x v="1"/>
          </reference>
          <reference field="37" count="0" selected="0"/>
        </references>
      </pivotArea>
    </format>
    <format dxfId="3415">
      <pivotArea collapsedLevelsAreSubtotals="1" fieldPosition="0">
        <references count="3">
          <reference field="12" count="1">
            <x v="26"/>
          </reference>
          <reference field="36" count="1" selected="0">
            <x v="1"/>
          </reference>
          <reference field="37" count="0" selected="0"/>
        </references>
      </pivotArea>
    </format>
    <format dxfId="3416">
      <pivotArea collapsedLevelsAreSubtotals="1" fieldPosition="0">
        <references count="3">
          <reference field="12" count="1">
            <x v="27"/>
          </reference>
          <reference field="36" count="1" selected="0">
            <x v="1"/>
          </reference>
          <reference field="37" count="0" selected="0"/>
        </references>
      </pivotArea>
    </format>
    <format dxfId="3417">
      <pivotArea field="36" grandRow="1" outline="0" collapsedLevelsAreSubtotals="1" axis="axisCol" fieldPosition="0">
        <references count="1">
          <reference field="36" count="1" selected="0" defaultSubtotal="1">
            <x v="1"/>
          </reference>
        </references>
      </pivotArea>
    </format>
    <format dxfId="3418">
      <pivotArea grandCol="1" outline="0" collapsedLevelsAreSubtotals="1" fieldPosition="0"/>
    </format>
    <format dxfId="3419">
      <pivotArea dataOnly="0" labelOnly="1" grandCol="1" outline="0" fieldPosition="0"/>
    </format>
    <format dxfId="3420">
      <pivotArea dataOnly="0" labelOnly="1" fieldPosition="0">
        <references count="1">
          <reference field="36" count="1" defaultSubtotal="1">
            <x v="1"/>
          </reference>
        </references>
      </pivotArea>
    </format>
    <format dxfId="3188">
      <pivotArea field="37" type="button" dataOnly="0" labelOnly="1" outline="0" axis="axisCol" fieldPosition="1"/>
    </format>
    <format dxfId="3187">
      <pivotArea type="topRight" dataOnly="0" labelOnly="1" outline="0" fieldPosition="0"/>
    </format>
    <format dxfId="3186">
      <pivotArea dataOnly="0" labelOnly="1" fieldPosition="0">
        <references count="1">
          <reference field="36" count="1">
            <x v="0"/>
          </reference>
        </references>
      </pivotArea>
    </format>
    <format dxfId="3185">
      <pivotArea dataOnly="0" labelOnly="1" fieldPosition="0">
        <references count="1">
          <reference field="36" count="1">
            <x v="0"/>
          </reference>
        </references>
      </pivotArea>
    </format>
    <format dxfId="3184">
      <pivotArea dataOnly="0" labelOnly="1" fieldPosition="0">
        <references count="1">
          <reference field="36" count="1">
            <x v="1"/>
          </reference>
        </references>
      </pivotArea>
    </format>
    <format dxfId="3183">
      <pivotArea dataOnly="0" labelOnly="1" fieldPosition="0">
        <references count="2">
          <reference field="36" count="1" selected="0">
            <x v="1"/>
          </reference>
          <reference field="37" count="1">
            <x v="0"/>
          </reference>
        </references>
      </pivotArea>
    </format>
  </formats>
  <chartFormats count="6">
    <chartFormat chart="1" format="0" series="1">
      <pivotArea type="data" outline="0" fieldPosition="0">
        <references count="2">
          <reference field="4294967294" count="1" selected="0">
            <x v="0"/>
          </reference>
          <reference field="36" count="1" selected="0">
            <x v="0"/>
          </reference>
        </references>
      </pivotArea>
    </chartFormat>
    <chartFormat chart="1" format="1" series="1">
      <pivotArea type="data" outline="0" fieldPosition="0">
        <references count="2">
          <reference field="4294967294" count="1" selected="0">
            <x v="0"/>
          </reference>
          <reference field="36" count="1" selected="0">
            <x v="1"/>
          </reference>
        </references>
      </pivotArea>
    </chartFormat>
    <chartFormat chart="1" format="4" series="1">
      <pivotArea type="data" outline="0" fieldPosition="0">
        <references count="3">
          <reference field="4294967294" count="1" selected="0">
            <x v="0"/>
          </reference>
          <reference field="36" count="1" selected="0">
            <x v="1"/>
          </reference>
          <reference field="37" count="1" selected="0">
            <x v="1"/>
          </reference>
        </references>
      </pivotArea>
    </chartFormat>
    <chartFormat chart="1" format="5" series="1">
      <pivotArea type="data" outline="0" fieldPosition="0">
        <references count="3">
          <reference field="4294967294" count="1" selected="0">
            <x v="0"/>
          </reference>
          <reference field="36" count="1" selected="0">
            <x v="1"/>
          </reference>
          <reference field="37" count="1" selected="0">
            <x v="0"/>
          </reference>
        </references>
      </pivotArea>
    </chartFormat>
    <chartFormat chart="1" format="6">
      <pivotArea type="data" outline="0" fieldPosition="0">
        <references count="4">
          <reference field="4294967294" count="1" selected="0">
            <x v="0"/>
          </reference>
          <reference field="12" count="1" selected="0">
            <x v="4"/>
          </reference>
          <reference field="36" count="1" selected="0">
            <x v="1"/>
          </reference>
          <reference field="37" count="1" selected="0">
            <x v="0"/>
          </reference>
        </references>
      </pivotArea>
    </chartFormat>
    <chartFormat chart="1" format="7">
      <pivotArea type="data" outline="0" fieldPosition="0">
        <references count="4">
          <reference field="4294967294" count="1" selected="0">
            <x v="0"/>
          </reference>
          <reference field="12" count="1" selected="0">
            <x v="2"/>
          </reference>
          <reference field="36" count="1" selected="0">
            <x v="1"/>
          </reference>
          <reference field="37"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8EA41BF5-3E5D-4D79-9136-96547C66A47E}" name="TablaDinámica6" cacheId="526"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3">
  <location ref="B2:G13" firstHeaderRow="1" firstDataRow="3" firstDataCol="1"/>
  <pivotFields count="43">
    <pivotField showAll="0"/>
    <pivotField showAll="0"/>
    <pivotField showAll="0"/>
    <pivotField showAll="0"/>
    <pivotField showAll="0"/>
    <pivotField showAll="0"/>
    <pivotField showAll="0"/>
    <pivotField showAll="0"/>
    <pivotField showAll="0"/>
    <pivotField showAll="0"/>
    <pivotField axis="axisRow" showAll="0">
      <items count="28">
        <item sd="0" x="0"/>
        <item x="1"/>
        <item x="2"/>
        <item x="3"/>
        <item x="4"/>
        <item x="5"/>
        <item x="18"/>
        <item x="15"/>
        <item x="6"/>
        <item x="25"/>
        <item x="23"/>
        <item x="21"/>
        <item m="1" x="26"/>
        <item x="7"/>
        <item x="8"/>
        <item x="19"/>
        <item x="24"/>
        <item x="16"/>
        <item x="9"/>
        <item x="10"/>
        <item x="11"/>
        <item x="12"/>
        <item x="20"/>
        <item x="13"/>
        <item x="14"/>
        <item x="22"/>
        <item x="17"/>
        <item t="default"/>
      </items>
    </pivotField>
    <pivotField showAll="0"/>
    <pivotField showAll="0"/>
    <pivotField showAll="0"/>
    <pivotField showAll="0"/>
    <pivotField axis="axisRow" showAll="0">
      <items count="131">
        <item x="96"/>
        <item x="56"/>
        <item x="58"/>
        <item x="68"/>
        <item x="62"/>
        <item x="63"/>
        <item x="125"/>
        <item x="42"/>
        <item x="94"/>
        <item x="93"/>
        <item x="57"/>
        <item x="49"/>
        <item x="114"/>
        <item x="71"/>
        <item x="25"/>
        <item x="22"/>
        <item x="50"/>
        <item x="126"/>
        <item x="54"/>
        <item x="118"/>
        <item x="36"/>
        <item x="98"/>
        <item x="102"/>
        <item x="40"/>
        <item x="103"/>
        <item x="5"/>
        <item x="109"/>
        <item x="41"/>
        <item x="19"/>
        <item x="23"/>
        <item x="38"/>
        <item x="29"/>
        <item x="95"/>
        <item x="33"/>
        <item x="48"/>
        <item x="66"/>
        <item x="128"/>
        <item x="129"/>
        <item x="26"/>
        <item x="113"/>
        <item x="101"/>
        <item x="53"/>
        <item x="85"/>
        <item x="69"/>
        <item x="44"/>
        <item x="46"/>
        <item x="64"/>
        <item x="67"/>
        <item x="35"/>
        <item x="92"/>
        <item x="34"/>
        <item x="65"/>
        <item x="123"/>
        <item x="119"/>
        <item x="88"/>
        <item x="100"/>
        <item x="90"/>
        <item x="106"/>
        <item x="74"/>
        <item x="18"/>
        <item x="16"/>
        <item x="17"/>
        <item x="52"/>
        <item x="73"/>
        <item x="13"/>
        <item x="15"/>
        <item x="108"/>
        <item x="107"/>
        <item x="12"/>
        <item x="14"/>
        <item x="11"/>
        <item x="9"/>
        <item x="10"/>
        <item x="72"/>
        <item x="104"/>
        <item x="105"/>
        <item x="60"/>
        <item x="55"/>
        <item x="30"/>
        <item x="84"/>
        <item x="89"/>
        <item x="59"/>
        <item x="91"/>
        <item x="51"/>
        <item x="31"/>
        <item x="45"/>
        <item x="99"/>
        <item x="75"/>
        <item x="115"/>
        <item x="3"/>
        <item x="4"/>
        <item x="6"/>
        <item x="124"/>
        <item x="2"/>
        <item x="43"/>
        <item x="7"/>
        <item x="81"/>
        <item x="47"/>
        <item x="77"/>
        <item x="78"/>
        <item x="76"/>
        <item x="79"/>
        <item x="80"/>
        <item x="28"/>
        <item x="117"/>
        <item x="110"/>
        <item x="111"/>
        <item x="116"/>
        <item x="121"/>
        <item x="122"/>
        <item x="32"/>
        <item x="1"/>
        <item x="8"/>
        <item x="127"/>
        <item x="112"/>
        <item x="27"/>
        <item x="82"/>
        <item x="83"/>
        <item x="87"/>
        <item x="86"/>
        <item x="0"/>
        <item x="120"/>
        <item x="97"/>
        <item x="70"/>
        <item x="61"/>
        <item x="39"/>
        <item x="20"/>
        <item x="24"/>
        <item x="21"/>
        <item x="37"/>
        <item t="default"/>
      </items>
    </pivotField>
    <pivotField axis="axisRow" dataField="1" showAll="0">
      <items count="12">
        <item sd="0" x="0"/>
        <item sd="0" x="1"/>
        <item sd="0" x="3"/>
        <item sd="0" x="2"/>
        <item sd="0" x="6"/>
        <item sd="0" x="7"/>
        <item sd="0" x="4"/>
        <item sd="0" x="5"/>
        <item sd="0" m="1" x="8"/>
        <item sd="0" m="1" x="10"/>
        <item sd="0" m="1" x="9"/>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3">
        <item sd="0" x="1"/>
        <item x="0"/>
        <item t="default"/>
      </items>
    </pivotField>
    <pivotField axis="axisCol" showAll="0">
      <items count="3">
        <item x="1"/>
        <item x="0"/>
        <item t="default"/>
      </items>
    </pivotField>
    <pivotField showAll="0"/>
    <pivotField showAll="0"/>
    <pivotField showAll="0"/>
    <pivotField showAll="0"/>
    <pivotField showAll="0"/>
  </pivotFields>
  <rowFields count="3">
    <field x="16"/>
    <field x="10"/>
    <field x="15"/>
  </rowFields>
  <rowItems count="9">
    <i>
      <x/>
    </i>
    <i>
      <x v="1"/>
    </i>
    <i>
      <x v="2"/>
    </i>
    <i>
      <x v="3"/>
    </i>
    <i>
      <x v="4"/>
    </i>
    <i>
      <x v="5"/>
    </i>
    <i>
      <x v="6"/>
    </i>
    <i>
      <x v="7"/>
    </i>
    <i t="grand">
      <x/>
    </i>
  </rowItems>
  <colFields count="2">
    <field x="36"/>
    <field x="37"/>
  </colFields>
  <colItems count="5">
    <i>
      <x/>
    </i>
    <i>
      <x v="1"/>
      <x/>
    </i>
    <i r="1">
      <x v="1"/>
    </i>
    <i t="default">
      <x v="1"/>
    </i>
    <i t="grand">
      <x/>
    </i>
  </colItems>
  <dataFields count="1">
    <dataField name="Cuenta de Fecha estimada de inicio de proceso de selección (mes)" fld="16" subtotal="count" baseField="0" baseItem="0"/>
  </dataFields>
  <formats count="62">
    <format dxfId="3276">
      <pivotArea outline="0" collapsedLevelsAreSubtotals="1" fieldPosition="0"/>
    </format>
    <format dxfId="3275">
      <pivotArea field="36" type="button" dataOnly="0" labelOnly="1" outline="0" axis="axisCol" fieldPosition="0"/>
    </format>
    <format dxfId="3274">
      <pivotArea type="all" dataOnly="0" outline="0" fieldPosition="0"/>
    </format>
    <format dxfId="3273">
      <pivotArea outline="0" collapsedLevelsAreSubtotals="1" fieldPosition="0"/>
    </format>
    <format dxfId="3272">
      <pivotArea type="origin" dataOnly="0" labelOnly="1" outline="0" fieldPosition="0"/>
    </format>
    <format dxfId="3271">
      <pivotArea field="16" type="button" dataOnly="0" labelOnly="1" outline="0" axis="axisRow" fieldPosition="0"/>
    </format>
    <format dxfId="3270">
      <pivotArea dataOnly="0" labelOnly="1" fieldPosition="0">
        <references count="1">
          <reference field="16" count="0"/>
        </references>
      </pivotArea>
    </format>
    <format dxfId="3269">
      <pivotArea dataOnly="0" labelOnly="1" grandRow="1" outline="0" fieldPosition="0"/>
    </format>
    <format dxfId="3268">
      <pivotArea dataOnly="0" labelOnly="1" fieldPosition="0">
        <references count="1">
          <reference field="36" count="0"/>
        </references>
      </pivotArea>
    </format>
    <format dxfId="3267">
      <pivotArea dataOnly="0" labelOnly="1" grandCol="1" outline="0" fieldPosition="0"/>
    </format>
    <format dxfId="3266">
      <pivotArea type="origin" dataOnly="0" labelOnly="1" outline="0" fieldPosition="0"/>
    </format>
    <format dxfId="3265">
      <pivotArea field="16" type="button" dataOnly="0" labelOnly="1" outline="0" axis="axisRow" fieldPosition="0"/>
    </format>
    <format dxfId="3264">
      <pivotArea dataOnly="0" labelOnly="1" fieldPosition="0">
        <references count="1">
          <reference field="36" count="0"/>
        </references>
      </pivotArea>
    </format>
    <format dxfId="3263">
      <pivotArea dataOnly="0" labelOnly="1" grandCol="1" outline="0" fieldPosition="0"/>
    </format>
    <format dxfId="3262">
      <pivotArea outline="0" collapsedLevelsAreSubtotals="1" fieldPosition="0">
        <references count="1">
          <reference field="36" count="1" selected="0" defaultSubtotal="1">
            <x v="1"/>
          </reference>
        </references>
      </pivotArea>
    </format>
    <format dxfId="3261">
      <pivotArea field="36" grandRow="1" outline="0" collapsedLevelsAreSubtotals="1" axis="axisCol" fieldPosition="0">
        <references count="1">
          <reference field="36" count="1" selected="0" defaultSubtotal="1">
            <x v="1"/>
          </reference>
        </references>
      </pivotArea>
    </format>
    <format dxfId="3260">
      <pivotArea collapsedLevelsAreSubtotals="1" fieldPosition="0">
        <references count="2">
          <reference field="16" count="1">
            <x v="0"/>
          </reference>
          <reference field="36" count="1" selected="0" defaultSubtotal="1">
            <x v="1"/>
          </reference>
        </references>
      </pivotArea>
    </format>
    <format dxfId="3259">
      <pivotArea collapsedLevelsAreSubtotals="1" fieldPosition="0">
        <references count="2">
          <reference field="16" count="1">
            <x v="1"/>
          </reference>
          <reference field="36" count="1" selected="0" defaultSubtotal="1">
            <x v="1"/>
          </reference>
        </references>
      </pivotArea>
    </format>
    <format dxfId="3258">
      <pivotArea collapsedLevelsAreSubtotals="1" fieldPosition="0">
        <references count="2">
          <reference field="16" count="1">
            <x v="2"/>
          </reference>
          <reference field="36" count="1" selected="0" defaultSubtotal="1">
            <x v="1"/>
          </reference>
        </references>
      </pivotArea>
    </format>
    <format dxfId="3257">
      <pivotArea collapsedLevelsAreSubtotals="1" fieldPosition="0">
        <references count="2">
          <reference field="16" count="1">
            <x v="3"/>
          </reference>
          <reference field="36" count="1" selected="0" defaultSubtotal="1">
            <x v="1"/>
          </reference>
        </references>
      </pivotArea>
    </format>
    <format dxfId="3256">
      <pivotArea collapsedLevelsAreSubtotals="1" fieldPosition="0">
        <references count="2">
          <reference field="16" count="1">
            <x v="4"/>
          </reference>
          <reference field="36" count="1" selected="0" defaultSubtotal="1">
            <x v="1"/>
          </reference>
        </references>
      </pivotArea>
    </format>
    <format dxfId="3255">
      <pivotArea collapsedLevelsAreSubtotals="1" fieldPosition="0">
        <references count="2">
          <reference field="16" count="1">
            <x v="5"/>
          </reference>
          <reference field="36" count="1" selected="0" defaultSubtotal="1">
            <x v="1"/>
          </reference>
        </references>
      </pivotArea>
    </format>
    <format dxfId="3254">
      <pivotArea collapsedLevelsAreSubtotals="1" fieldPosition="0">
        <references count="2">
          <reference field="16" count="1">
            <x v="6"/>
          </reference>
          <reference field="36" count="1" selected="0" defaultSubtotal="1">
            <x v="1"/>
          </reference>
        </references>
      </pivotArea>
    </format>
    <format dxfId="3253">
      <pivotArea collapsedLevelsAreSubtotals="1" fieldPosition="0">
        <references count="2">
          <reference field="16" count="1">
            <x v="7"/>
          </reference>
          <reference field="36" count="1" selected="0" defaultSubtotal="1">
            <x v="1"/>
          </reference>
        </references>
      </pivotArea>
    </format>
    <format dxfId="3252">
      <pivotArea field="16" grandCol="1" collapsedLevelsAreSubtotals="1" axis="axisRow" fieldPosition="0">
        <references count="1">
          <reference field="16" count="1">
            <x v="0"/>
          </reference>
        </references>
      </pivotArea>
    </format>
    <format dxfId="3251">
      <pivotArea field="16" grandCol="1" collapsedLevelsAreSubtotals="1" axis="axisRow" fieldPosition="0">
        <references count="1">
          <reference field="16" count="1">
            <x v="1"/>
          </reference>
        </references>
      </pivotArea>
    </format>
    <format dxfId="3250">
      <pivotArea field="16" grandCol="1" collapsedLevelsAreSubtotals="1" axis="axisRow" fieldPosition="0">
        <references count="1">
          <reference field="16" count="1">
            <x v="2"/>
          </reference>
        </references>
      </pivotArea>
    </format>
    <format dxfId="3249">
      <pivotArea field="16" grandCol="1" collapsedLevelsAreSubtotals="1" axis="axisRow" fieldPosition="0">
        <references count="1">
          <reference field="16" count="1">
            <x v="3"/>
          </reference>
        </references>
      </pivotArea>
    </format>
    <format dxfId="3248">
      <pivotArea field="16" grandCol="1" collapsedLevelsAreSubtotals="1" axis="axisRow" fieldPosition="0">
        <references count="1">
          <reference field="16" count="1">
            <x v="4"/>
          </reference>
        </references>
      </pivotArea>
    </format>
    <format dxfId="3247">
      <pivotArea field="16" grandCol="1" collapsedLevelsAreSubtotals="1" axis="axisRow" fieldPosition="0">
        <references count="1">
          <reference field="16" count="1">
            <x v="5"/>
          </reference>
        </references>
      </pivotArea>
    </format>
    <format dxfId="3246">
      <pivotArea field="16" grandCol="1" collapsedLevelsAreSubtotals="1" axis="axisRow" fieldPosition="0">
        <references count="1">
          <reference field="16" count="1">
            <x v="6"/>
          </reference>
        </references>
      </pivotArea>
    </format>
    <format dxfId="3245">
      <pivotArea field="16" grandCol="1" collapsedLevelsAreSubtotals="1" axis="axisRow" fieldPosition="0">
        <references count="1">
          <reference field="16" count="1">
            <x v="7"/>
          </reference>
        </references>
      </pivotArea>
    </format>
    <format dxfId="3244">
      <pivotArea collapsedLevelsAreSubtotals="1" fieldPosition="0">
        <references count="2">
          <reference field="16" count="1">
            <x v="0"/>
          </reference>
          <reference field="36" count="1" selected="0">
            <x v="0"/>
          </reference>
        </references>
      </pivotArea>
    </format>
    <format dxfId="3243">
      <pivotArea collapsedLevelsAreSubtotals="1" fieldPosition="0">
        <references count="2">
          <reference field="16" count="1">
            <x v="1"/>
          </reference>
          <reference field="36" count="1" selected="0">
            <x v="0"/>
          </reference>
        </references>
      </pivotArea>
    </format>
    <format dxfId="3242">
      <pivotArea collapsedLevelsAreSubtotals="1" fieldPosition="0">
        <references count="2">
          <reference field="16" count="1">
            <x v="2"/>
          </reference>
          <reference field="36" count="1" selected="0">
            <x v="0"/>
          </reference>
        </references>
      </pivotArea>
    </format>
    <format dxfId="3241">
      <pivotArea collapsedLevelsAreSubtotals="1" fieldPosition="0">
        <references count="2">
          <reference field="16" count="1">
            <x v="3"/>
          </reference>
          <reference field="36" count="1" selected="0">
            <x v="0"/>
          </reference>
        </references>
      </pivotArea>
    </format>
    <format dxfId="3240">
      <pivotArea collapsedLevelsAreSubtotals="1" fieldPosition="0">
        <references count="2">
          <reference field="16" count="1">
            <x v="4"/>
          </reference>
          <reference field="36" count="1" selected="0">
            <x v="0"/>
          </reference>
        </references>
      </pivotArea>
    </format>
    <format dxfId="3239">
      <pivotArea collapsedLevelsAreSubtotals="1" fieldPosition="0">
        <references count="2">
          <reference field="16" count="1">
            <x v="5"/>
          </reference>
          <reference field="36" count="1" selected="0">
            <x v="0"/>
          </reference>
        </references>
      </pivotArea>
    </format>
    <format dxfId="3238">
      <pivotArea collapsedLevelsAreSubtotals="1" fieldPosition="0">
        <references count="2">
          <reference field="16" count="1">
            <x v="6"/>
          </reference>
          <reference field="36" count="1" selected="0">
            <x v="0"/>
          </reference>
        </references>
      </pivotArea>
    </format>
    <format dxfId="3237">
      <pivotArea collapsedLevelsAreSubtotals="1" fieldPosition="0">
        <references count="2">
          <reference field="16" count="1">
            <x v="7"/>
          </reference>
          <reference field="36" count="1" selected="0">
            <x v="0"/>
          </reference>
        </references>
      </pivotArea>
    </format>
    <format dxfId="3236">
      <pivotArea field="36" grandRow="1" outline="0" collapsedLevelsAreSubtotals="1" axis="axisCol" fieldPosition="0">
        <references count="1">
          <reference field="36" count="0" selected="0"/>
        </references>
      </pivotArea>
    </format>
    <format dxfId="3235">
      <pivotArea dataOnly="0" labelOnly="1" fieldPosition="0">
        <references count="1">
          <reference field="36" count="1">
            <x v="1"/>
          </reference>
        </references>
      </pivotArea>
    </format>
    <format dxfId="3234">
      <pivotArea dataOnly="0" labelOnly="1" fieldPosition="0">
        <references count="1">
          <reference field="36" count="1" defaultSubtotal="1">
            <x v="1"/>
          </reference>
        </references>
      </pivotArea>
    </format>
    <format dxfId="3233">
      <pivotArea dataOnly="0" labelOnly="1" fieldPosition="0">
        <references count="2">
          <reference field="36" count="1" selected="0">
            <x v="1"/>
          </reference>
          <reference field="37" count="0"/>
        </references>
      </pivotArea>
    </format>
    <format dxfId="3232">
      <pivotArea dataOnly="0" labelOnly="1" fieldPosition="0">
        <references count="1">
          <reference field="36" count="1">
            <x v="1"/>
          </reference>
        </references>
      </pivotArea>
    </format>
    <format dxfId="3231">
      <pivotArea field="36" type="button" dataOnly="0" labelOnly="1" outline="0" axis="axisCol" fieldPosition="0"/>
    </format>
    <format dxfId="3230">
      <pivotArea field="37" type="button" dataOnly="0" labelOnly="1" outline="0" axis="axisCol" fieldPosition="1"/>
    </format>
    <format dxfId="3229">
      <pivotArea type="topRight" dataOnly="0" labelOnly="1" outline="0" fieldPosition="0"/>
    </format>
    <format dxfId="3201">
      <pivotArea type="origin" dataOnly="0" labelOnly="1" outline="0" fieldPosition="0"/>
    </format>
    <format dxfId="3182">
      <pivotArea collapsedLevelsAreSubtotals="1" fieldPosition="0">
        <references count="3">
          <reference field="16" count="1">
            <x v="0"/>
          </reference>
          <reference field="36" count="1" selected="0">
            <x v="1"/>
          </reference>
          <reference field="37" count="0" selected="0"/>
        </references>
      </pivotArea>
    </format>
    <format dxfId="3181">
      <pivotArea collapsedLevelsAreSubtotals="1" fieldPosition="0">
        <references count="3">
          <reference field="16" count="1">
            <x v="1"/>
          </reference>
          <reference field="36" count="1" selected="0">
            <x v="1"/>
          </reference>
          <reference field="37" count="0" selected="0"/>
        </references>
      </pivotArea>
    </format>
    <format dxfId="3180">
      <pivotArea collapsedLevelsAreSubtotals="1" fieldPosition="0">
        <references count="3">
          <reference field="16" count="1">
            <x v="2"/>
          </reference>
          <reference field="36" count="1" selected="0">
            <x v="1"/>
          </reference>
          <reference field="37" count="0" selected="0"/>
        </references>
      </pivotArea>
    </format>
    <format dxfId="3179">
      <pivotArea collapsedLevelsAreSubtotals="1" fieldPosition="0">
        <references count="3">
          <reference field="16" count="1">
            <x v="3"/>
          </reference>
          <reference field="36" count="1" selected="0">
            <x v="1"/>
          </reference>
          <reference field="37" count="0" selected="0"/>
        </references>
      </pivotArea>
    </format>
    <format dxfId="3178">
      <pivotArea collapsedLevelsAreSubtotals="1" fieldPosition="0">
        <references count="3">
          <reference field="16" count="1">
            <x v="4"/>
          </reference>
          <reference field="36" count="1" selected="0">
            <x v="1"/>
          </reference>
          <reference field="37" count="0" selected="0"/>
        </references>
      </pivotArea>
    </format>
    <format dxfId="3177">
      <pivotArea collapsedLevelsAreSubtotals="1" fieldPosition="0">
        <references count="3">
          <reference field="16" count="1">
            <x v="5"/>
          </reference>
          <reference field="36" count="1" selected="0">
            <x v="1"/>
          </reference>
          <reference field="37" count="0" selected="0"/>
        </references>
      </pivotArea>
    </format>
    <format dxfId="3176">
      <pivotArea collapsedLevelsAreSubtotals="1" fieldPosition="0">
        <references count="3">
          <reference field="16" count="1">
            <x v="6"/>
          </reference>
          <reference field="36" count="1" selected="0">
            <x v="1"/>
          </reference>
          <reference field="37" count="0" selected="0"/>
        </references>
      </pivotArea>
    </format>
    <format dxfId="3175">
      <pivotArea collapsedLevelsAreSubtotals="1" fieldPosition="0">
        <references count="3">
          <reference field="16" count="1">
            <x v="7"/>
          </reference>
          <reference field="36" count="1" selected="0">
            <x v="1"/>
          </reference>
          <reference field="37" count="0" selected="0"/>
        </references>
      </pivotArea>
    </format>
    <format dxfId="3174">
      <pivotArea dataOnly="0" labelOnly="1" fieldPosition="0">
        <references count="2">
          <reference field="36" count="1" selected="0">
            <x v="1"/>
          </reference>
          <reference field="37" count="0"/>
        </references>
      </pivotArea>
    </format>
    <format dxfId="3173">
      <pivotArea dataOnly="0" labelOnly="1" fieldPosition="0">
        <references count="2">
          <reference field="36" count="1" selected="0">
            <x v="1"/>
          </reference>
          <reference field="37" count="1">
            <x v="1"/>
          </reference>
        </references>
      </pivotArea>
    </format>
    <format dxfId="3172">
      <pivotArea dataOnly="0" labelOnly="1" fieldPosition="0">
        <references count="2">
          <reference field="36" count="1" selected="0">
            <x v="1"/>
          </reference>
          <reference field="37" count="0"/>
        </references>
      </pivotArea>
    </format>
    <format dxfId="3171">
      <pivotArea dataOnly="0" outline="0" fieldPosition="0">
        <references count="1">
          <reference field="37" count="0"/>
        </references>
      </pivotArea>
    </format>
    <format dxfId="3170">
      <pivotArea field="37" grandRow="1" outline="0" collapsedLevelsAreSubtotals="1" axis="axisCol" fieldPosition="1">
        <references count="2">
          <reference field="36" count="1" selected="0">
            <x v="1"/>
          </reference>
          <reference field="37" count="0" selected="0"/>
        </references>
      </pivotArea>
    </format>
  </formats>
  <chartFormats count="3">
    <chartFormat chart="2" format="0" series="1">
      <pivotArea type="data" outline="0" fieldPosition="0">
        <references count="2">
          <reference field="4294967294" count="1" selected="0">
            <x v="0"/>
          </reference>
          <reference field="36" count="1" selected="0">
            <x v="0"/>
          </reference>
        </references>
      </pivotArea>
    </chartFormat>
    <chartFormat chart="2" format="1" series="1">
      <pivotArea type="data" outline="0" fieldPosition="0">
        <references count="3">
          <reference field="4294967294" count="1" selected="0">
            <x v="0"/>
          </reference>
          <reference field="36" count="1" selected="0">
            <x v="1"/>
          </reference>
          <reference field="37" count="1" selected="0">
            <x v="0"/>
          </reference>
        </references>
      </pivotArea>
    </chartFormat>
    <chartFormat chart="2" format="2" series="1">
      <pivotArea type="data" outline="0" fieldPosition="0">
        <references count="3">
          <reference field="4294967294" count="1" selected="0">
            <x v="0"/>
          </reference>
          <reference field="36" count="1" selected="0">
            <x v="1"/>
          </reference>
          <reference field="37"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1F15DBF3-3EF4-4A72-8EB6-6F99D03A7344}" name="TablaDinámica7" cacheId="526"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2">
  <location ref="A2:C39" firstHeaderRow="0" firstDataRow="1" firstDataCol="1"/>
  <pivotFields count="43">
    <pivotField showAll="0"/>
    <pivotField showAll="0"/>
    <pivotField showAll="0"/>
    <pivotField showAll="0"/>
    <pivotField showAll="0"/>
    <pivotField showAll="0"/>
    <pivotField showAll="0"/>
    <pivotField showAll="0"/>
    <pivotField showAll="0"/>
    <pivotField showAll="0"/>
    <pivotField axis="axisRow" showAll="0">
      <items count="28">
        <item sd="0" x="0"/>
        <item sd="0" x="1"/>
        <item sd="0" x="2"/>
        <item sd="0" x="3"/>
        <item sd="0" x="4"/>
        <item sd="0" x="5"/>
        <item sd="0" x="18"/>
        <item sd="0" x="15"/>
        <item sd="0" x="6"/>
        <item sd="0" x="25"/>
        <item sd="0" x="23"/>
        <item sd="0" x="21"/>
        <item sd="0" m="1" x="26"/>
        <item sd="0" x="7"/>
        <item sd="0" x="8"/>
        <item sd="0" x="19"/>
        <item sd="0" x="24"/>
        <item sd="0" x="16"/>
        <item sd="0" x="9"/>
        <item sd="0" x="10"/>
        <item sd="0" x="11"/>
        <item sd="0" x="12"/>
        <item sd="0" x="20"/>
        <item sd="0" x="13"/>
        <item sd="0" x="14"/>
        <item sd="0" x="22"/>
        <item sd="0" x="17"/>
        <item t="default"/>
      </items>
    </pivotField>
    <pivotField showAll="0"/>
    <pivotField showAll="0"/>
    <pivotField showAll="0"/>
    <pivotField showAll="0"/>
    <pivotField axis="axisRow" showAll="0">
      <items count="131">
        <item x="96"/>
        <item x="56"/>
        <item x="58"/>
        <item x="68"/>
        <item x="62"/>
        <item x="63"/>
        <item x="125"/>
        <item x="42"/>
        <item x="94"/>
        <item x="93"/>
        <item x="57"/>
        <item x="49"/>
        <item x="114"/>
        <item x="71"/>
        <item x="25"/>
        <item x="22"/>
        <item x="50"/>
        <item x="126"/>
        <item x="54"/>
        <item x="118"/>
        <item x="36"/>
        <item x="98"/>
        <item x="102"/>
        <item x="40"/>
        <item x="103"/>
        <item x="5"/>
        <item x="109"/>
        <item x="41"/>
        <item x="19"/>
        <item x="23"/>
        <item x="38"/>
        <item x="29"/>
        <item x="95"/>
        <item x="33"/>
        <item x="48"/>
        <item x="66"/>
        <item x="128"/>
        <item x="129"/>
        <item x="26"/>
        <item x="113"/>
        <item x="101"/>
        <item x="53"/>
        <item x="85"/>
        <item x="69"/>
        <item x="44"/>
        <item x="46"/>
        <item x="64"/>
        <item x="67"/>
        <item x="35"/>
        <item x="92"/>
        <item x="34"/>
        <item x="65"/>
        <item x="123"/>
        <item x="119"/>
        <item x="88"/>
        <item x="100"/>
        <item x="90"/>
        <item x="106"/>
        <item x="74"/>
        <item x="18"/>
        <item x="16"/>
        <item x="17"/>
        <item x="52"/>
        <item x="73"/>
        <item x="13"/>
        <item x="15"/>
        <item x="108"/>
        <item x="107"/>
        <item x="12"/>
        <item x="14"/>
        <item x="11"/>
        <item x="9"/>
        <item x="10"/>
        <item x="72"/>
        <item x="104"/>
        <item x="105"/>
        <item x="60"/>
        <item x="55"/>
        <item x="30"/>
        <item x="84"/>
        <item x="89"/>
        <item x="59"/>
        <item x="91"/>
        <item x="51"/>
        <item x="31"/>
        <item x="45"/>
        <item x="99"/>
        <item x="75"/>
        <item x="115"/>
        <item x="3"/>
        <item x="4"/>
        <item x="6"/>
        <item x="124"/>
        <item x="2"/>
        <item x="43"/>
        <item x="7"/>
        <item x="81"/>
        <item x="47"/>
        <item x="77"/>
        <item x="78"/>
        <item x="76"/>
        <item x="79"/>
        <item x="80"/>
        <item x="28"/>
        <item x="117"/>
        <item x="110"/>
        <item x="111"/>
        <item x="116"/>
        <item x="121"/>
        <item x="122"/>
        <item x="32"/>
        <item x="1"/>
        <item x="8"/>
        <item x="127"/>
        <item x="112"/>
        <item x="27"/>
        <item x="82"/>
        <item x="83"/>
        <item x="87"/>
        <item x="86"/>
        <item x="0"/>
        <item x="120"/>
        <item x="97"/>
        <item x="70"/>
        <item x="61"/>
        <item x="39"/>
        <item x="20"/>
        <item x="24"/>
        <item x="21"/>
        <item x="37"/>
        <item t="default"/>
      </items>
    </pivotField>
    <pivotField showAll="0"/>
    <pivotField showAll="0"/>
    <pivotField showAll="0"/>
    <pivotField showAll="0"/>
    <pivotField showAll="0"/>
    <pivotField showAll="0"/>
    <pivotField dataField="1" showAll="0" sumSubtotal="1"/>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3">
        <item x="1"/>
        <item x="0"/>
        <item t="default"/>
      </items>
    </pivotField>
    <pivotField showAll="0"/>
    <pivotField dataField="1" showAll="0"/>
    <pivotField showAll="0"/>
    <pivotField showAll="0"/>
    <pivotField showAll="0"/>
  </pivotFields>
  <rowFields count="3">
    <field x="37"/>
    <field x="10"/>
    <field x="15"/>
  </rowFields>
  <rowItems count="37">
    <i>
      <x/>
    </i>
    <i r="1">
      <x/>
    </i>
    <i r="1">
      <x v="1"/>
    </i>
    <i r="1">
      <x v="2"/>
    </i>
    <i r="1">
      <x v="3"/>
    </i>
    <i r="1">
      <x v="4"/>
    </i>
    <i r="1">
      <x v="5"/>
    </i>
    <i r="1">
      <x v="6"/>
    </i>
    <i r="1">
      <x v="7"/>
    </i>
    <i r="1">
      <x v="8"/>
    </i>
    <i r="1">
      <x v="9"/>
    </i>
    <i r="1">
      <x v="10"/>
    </i>
    <i r="1">
      <x v="11"/>
    </i>
    <i r="1">
      <x v="13"/>
    </i>
    <i r="1">
      <x v="14"/>
    </i>
    <i r="1">
      <x v="15"/>
    </i>
    <i r="1">
      <x v="16"/>
    </i>
    <i r="1">
      <x v="17"/>
    </i>
    <i r="1">
      <x v="18"/>
    </i>
    <i r="1">
      <x v="19"/>
    </i>
    <i r="1">
      <x v="20"/>
    </i>
    <i r="1">
      <x v="21"/>
    </i>
    <i r="1">
      <x v="22"/>
    </i>
    <i r="1">
      <x v="23"/>
    </i>
    <i r="1">
      <x v="24"/>
    </i>
    <i r="1">
      <x v="26"/>
    </i>
    <i>
      <x v="1"/>
    </i>
    <i r="1">
      <x/>
    </i>
    <i r="1">
      <x v="3"/>
    </i>
    <i r="1">
      <x v="5"/>
    </i>
    <i r="1">
      <x v="7"/>
    </i>
    <i r="1">
      <x v="8"/>
    </i>
    <i r="1">
      <x v="13"/>
    </i>
    <i r="1">
      <x v="18"/>
    </i>
    <i r="1">
      <x v="22"/>
    </i>
    <i r="1">
      <x v="25"/>
    </i>
    <i t="grand">
      <x/>
    </i>
  </rowItems>
  <colFields count="1">
    <field x="-2"/>
  </colFields>
  <colItems count="2">
    <i>
      <x/>
    </i>
    <i i="1">
      <x v="1"/>
    </i>
  </colItems>
  <dataFields count="2">
    <dataField name="Suma de Valor total estimado" fld="22" baseField="10" baseItem="0"/>
    <dataField name="Suma de VALOR" fld="39" baseField="0" baseItem="0"/>
  </dataFields>
  <formats count="29">
    <format dxfId="3206">
      <pivotArea field="37" type="button" dataOnly="0" labelOnly="1" outline="0" axis="axisRow" fieldPosition="0"/>
    </format>
    <format dxfId="3207">
      <pivotArea dataOnly="0" labelOnly="1" outline="0" fieldPosition="0">
        <references count="1">
          <reference field="4294967294" count="2">
            <x v="0"/>
            <x v="1"/>
          </reference>
        </references>
      </pivotArea>
    </format>
    <format dxfId="3208">
      <pivotArea field="37" type="button" dataOnly="0" labelOnly="1" outline="0" axis="axisRow" fieldPosition="0"/>
    </format>
    <format dxfId="3209">
      <pivotArea dataOnly="0" labelOnly="1" outline="0" fieldPosition="0">
        <references count="1">
          <reference field="4294967294" count="2">
            <x v="0"/>
            <x v="1"/>
          </reference>
        </references>
      </pivotArea>
    </format>
    <format dxfId="3210">
      <pivotArea type="all" dataOnly="0" outline="0" fieldPosition="0"/>
    </format>
    <format dxfId="3211">
      <pivotArea outline="0" collapsedLevelsAreSubtotals="1" fieldPosition="0"/>
    </format>
    <format dxfId="3212">
      <pivotArea field="37" type="button" dataOnly="0" labelOnly="1" outline="0" axis="axisRow" fieldPosition="0"/>
    </format>
    <format dxfId="3213">
      <pivotArea dataOnly="0" labelOnly="1" fieldPosition="0">
        <references count="1">
          <reference field="37" count="0"/>
        </references>
      </pivotArea>
    </format>
    <format dxfId="3214">
      <pivotArea dataOnly="0" labelOnly="1" grandRow="1" outline="0" fieldPosition="0"/>
    </format>
    <format dxfId="3215">
      <pivotArea dataOnly="0" labelOnly="1" fieldPosition="0">
        <references count="2">
          <reference field="10" count="26">
            <x v="0"/>
            <x v="1"/>
            <x v="2"/>
            <x v="3"/>
            <x v="4"/>
            <x v="5"/>
            <x v="6"/>
            <x v="7"/>
            <x v="8"/>
            <x v="9"/>
            <x v="10"/>
            <x v="11"/>
            <x v="12"/>
            <x v="13"/>
            <x v="14"/>
            <x v="15"/>
            <x v="16"/>
            <x v="17"/>
            <x v="18"/>
            <x v="19"/>
            <x v="20"/>
            <x v="21"/>
            <x v="22"/>
            <x v="23"/>
            <x v="24"/>
            <x v="26"/>
          </reference>
          <reference field="37" count="1" selected="0">
            <x v="0"/>
          </reference>
        </references>
      </pivotArea>
    </format>
    <format dxfId="3216">
      <pivotArea dataOnly="0" labelOnly="1" fieldPosition="0">
        <references count="2">
          <reference field="10" count="8">
            <x v="0"/>
            <x v="3"/>
            <x v="7"/>
            <x v="8"/>
            <x v="13"/>
            <x v="18"/>
            <x v="22"/>
            <x v="25"/>
          </reference>
          <reference field="37" count="1" selected="0">
            <x v="1"/>
          </reference>
        </references>
      </pivotArea>
    </format>
    <format dxfId="3217">
      <pivotArea dataOnly="0" labelOnly="1" outline="0" fieldPosition="0">
        <references count="1">
          <reference field="4294967294" count="2">
            <x v="0"/>
            <x v="1"/>
          </reference>
        </references>
      </pivotArea>
    </format>
    <format dxfId="3218">
      <pivotArea outline="0" collapsedLevelsAreSubtotals="1" fieldPosition="0"/>
    </format>
    <format dxfId="3219">
      <pivotArea dataOnly="0" labelOnly="1" outline="0" fieldPosition="0">
        <references count="1">
          <reference field="4294967294" count="2">
            <x v="0"/>
            <x v="1"/>
          </reference>
        </references>
      </pivotArea>
    </format>
    <format dxfId="3220">
      <pivotArea outline="0" collapsedLevelsAreSubtotals="1" fieldPosition="0">
        <references count="1">
          <reference field="4294967294" count="1" selected="0">
            <x v="1"/>
          </reference>
        </references>
      </pivotArea>
    </format>
    <format dxfId="3221">
      <pivotArea dataOnly="0" labelOnly="1" outline="0" fieldPosition="0">
        <references count="1">
          <reference field="4294967294" count="1">
            <x v="1"/>
          </reference>
        </references>
      </pivotArea>
    </format>
    <format dxfId="3222">
      <pivotArea collapsedLevelsAreSubtotals="1" fieldPosition="0">
        <references count="1">
          <reference field="37" count="1">
            <x v="1"/>
          </reference>
        </references>
      </pivotArea>
    </format>
    <format dxfId="3223">
      <pivotArea dataOnly="0" labelOnly="1" fieldPosition="0">
        <references count="1">
          <reference field="37" count="1">
            <x v="1"/>
          </reference>
        </references>
      </pivotArea>
    </format>
    <format dxfId="3224">
      <pivotArea collapsedLevelsAreSubtotals="1" fieldPosition="0">
        <references count="1">
          <reference field="37" count="1">
            <x v="0"/>
          </reference>
        </references>
      </pivotArea>
    </format>
    <format dxfId="3225">
      <pivotArea dataOnly="0" labelOnly="1" fieldPosition="0">
        <references count="1">
          <reference field="37" count="1">
            <x v="0"/>
          </reference>
        </references>
      </pivotArea>
    </format>
    <format dxfId="3226">
      <pivotArea outline="0" collapsedLevelsAreSubtotals="1" fieldPosition="0"/>
    </format>
    <format dxfId="3227">
      <pivotArea grandRow="1" outline="0" collapsedLevelsAreSubtotals="1" fieldPosition="0"/>
    </format>
    <format dxfId="3228">
      <pivotArea dataOnly="0" labelOnly="1" grandRow="1" outline="0" fieldPosition="0"/>
    </format>
    <format dxfId="3205">
      <pivotArea collapsedLevelsAreSubtotals="1" fieldPosition="0">
        <references count="1">
          <reference field="37" count="1">
            <x v="0"/>
          </reference>
        </references>
      </pivotArea>
    </format>
    <format dxfId="3204">
      <pivotArea dataOnly="0" labelOnly="1" fieldPosition="0">
        <references count="1">
          <reference field="37" count="1">
            <x v="0"/>
          </reference>
        </references>
      </pivotArea>
    </format>
    <format dxfId="3203">
      <pivotArea collapsedLevelsAreSubtotals="1" fieldPosition="0">
        <references count="1">
          <reference field="37" count="1">
            <x v="1"/>
          </reference>
        </references>
      </pivotArea>
    </format>
    <format dxfId="3202">
      <pivotArea dataOnly="0" labelOnly="1" fieldPosition="0">
        <references count="1">
          <reference field="37" count="1">
            <x v="1"/>
          </reference>
        </references>
      </pivotArea>
    </format>
    <format dxfId="2938">
      <pivotArea field="37" type="button" dataOnly="0" labelOnly="1" outline="0" axis="axisRow" fieldPosition="0"/>
    </format>
    <format dxfId="2937">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E29F47DF-28AF-440D-AA25-F1FA6FCC1653}" name="TablaDinámica9" cacheId="526"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4">
  <location ref="B2:K11" firstHeaderRow="1" firstDataRow="3" firstDataCol="1"/>
  <pivotFields count="43">
    <pivotField showAll="0"/>
    <pivotField showAll="0"/>
    <pivotField showAll="0"/>
    <pivotField showAll="0"/>
    <pivotField showAll="0"/>
    <pivotField showAll="0"/>
    <pivotField showAll="0"/>
    <pivotField showAll="0"/>
    <pivotField showAll="0"/>
    <pivotField showAll="0"/>
    <pivotField axis="axisRow" showAll="0">
      <items count="28">
        <item x="0"/>
        <item x="1"/>
        <item x="2"/>
        <item x="3"/>
        <item x="4"/>
        <item x="5"/>
        <item x="18"/>
        <item x="15"/>
        <item x="6"/>
        <item x="25"/>
        <item x="23"/>
        <item x="21"/>
        <item m="1" x="26"/>
        <item x="7"/>
        <item x="8"/>
        <item x="19"/>
        <item x="24"/>
        <item x="16"/>
        <item x="9"/>
        <item x="10"/>
        <item x="11"/>
        <item x="12"/>
        <item x="20"/>
        <item x="13"/>
        <item x="14"/>
        <item x="22"/>
        <item x="17"/>
        <item t="default"/>
      </items>
    </pivotField>
    <pivotField showAll="0"/>
    <pivotField showAll="0"/>
    <pivotField showAll="0"/>
    <pivotField showAll="0"/>
    <pivotField showAll="0"/>
    <pivotField axis="axisCol" showAll="0">
      <items count="12">
        <item sd="0" x="0"/>
        <item sd="0" x="1"/>
        <item sd="0" x="3"/>
        <item sd="0" x="2"/>
        <item sd="0" x="6"/>
        <item sd="0" x="7"/>
        <item sd="0" x="4"/>
        <item sd="0" x="5"/>
        <item m="1" x="8"/>
        <item m="1" x="10"/>
        <item m="1" x="9"/>
        <item t="default"/>
      </items>
    </pivotField>
    <pivotField showAll="0"/>
    <pivotField showAll="0"/>
    <pivotField showAll="0"/>
    <pivotField axis="axisRow" dataField="1" showAll="0">
      <items count="11">
        <item m="1" x="6"/>
        <item sd="0" x="5"/>
        <item sd="0" x="0"/>
        <item sd="0" x="1"/>
        <item m="1" x="8"/>
        <item sd="0" x="3"/>
        <item sd="0" x="4"/>
        <item m="1" x="9"/>
        <item sd="0" x="2"/>
        <item m="1" x="7"/>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showAll="0">
      <items count="3">
        <item x="1"/>
        <item x="0"/>
        <item t="default"/>
      </items>
    </pivotField>
    <pivotField showAll="0"/>
    <pivotField showAll="0"/>
    <pivotField showAll="0"/>
    <pivotField showAll="0"/>
    <pivotField showAll="0"/>
    <pivotField showAll="0"/>
  </pivotFields>
  <rowFields count="2">
    <field x="20"/>
    <field x="10"/>
  </rowFields>
  <rowItems count="7">
    <i>
      <x v="1"/>
    </i>
    <i>
      <x v="2"/>
    </i>
    <i>
      <x v="3"/>
    </i>
    <i>
      <x v="5"/>
    </i>
    <i>
      <x v="6"/>
    </i>
    <i>
      <x v="8"/>
    </i>
    <i t="grand">
      <x/>
    </i>
  </rowItems>
  <colFields count="2">
    <field x="16"/>
    <field x="36"/>
  </colFields>
  <colItems count="9">
    <i>
      <x/>
    </i>
    <i>
      <x v="1"/>
    </i>
    <i>
      <x v="2"/>
    </i>
    <i>
      <x v="3"/>
    </i>
    <i>
      <x v="4"/>
    </i>
    <i>
      <x v="5"/>
    </i>
    <i>
      <x v="6"/>
    </i>
    <i>
      <x v="7"/>
    </i>
    <i t="grand">
      <x/>
    </i>
  </colItems>
  <dataFields count="1">
    <dataField name="Cuenta de Formas de contratación_x000a_a. Orden de Servicio o Compra_x000a_b. Contratación Directa_x000a_c. Contratación Expedita _x000a_d. Subasta inversa_x000a_e. Convocatoria Publica _x000a_f. Adquisición a través de los mecanismos de agregación de demanda" fld="20" subtotal="count" baseField="0" baseItem="0"/>
  </dataFields>
  <formats count="231">
    <format dxfId="3110">
      <pivotArea dataOnly="0" outline="0" axis="axisValues" fieldPosition="0"/>
    </format>
    <format dxfId="3111">
      <pivotArea dataOnly="0" labelOnly="1" fieldPosition="0">
        <references count="1">
          <reference field="20" count="0"/>
        </references>
      </pivotArea>
    </format>
    <format dxfId="3112">
      <pivotArea type="all" dataOnly="0" outline="0" fieldPosition="0"/>
    </format>
    <format dxfId="3113">
      <pivotArea outline="0" collapsedLevelsAreSubtotals="1" fieldPosition="0"/>
    </format>
    <format dxfId="3114">
      <pivotArea field="20" type="button" dataOnly="0" labelOnly="1" outline="0" axis="axisRow" fieldPosition="0"/>
    </format>
    <format dxfId="3115">
      <pivotArea dataOnly="0" labelOnly="1" fieldPosition="0">
        <references count="1">
          <reference field="20" count="0"/>
        </references>
      </pivotArea>
    </format>
    <format dxfId="3116">
      <pivotArea dataOnly="0" labelOnly="1" grandRow="1" outline="0" fieldPosition="0"/>
    </format>
    <format dxfId="3117">
      <pivotArea dataOnly="0" labelOnly="1" outline="0" axis="axisValues" fieldPosition="0"/>
    </format>
    <format dxfId="3118">
      <pivotArea type="all" dataOnly="0" outline="0" fieldPosition="0"/>
    </format>
    <format dxfId="3119">
      <pivotArea outline="0" collapsedLevelsAreSubtotals="1" fieldPosition="0"/>
    </format>
    <format dxfId="3120">
      <pivotArea field="20" type="button" dataOnly="0" labelOnly="1" outline="0" axis="axisRow" fieldPosition="0"/>
    </format>
    <format dxfId="3121">
      <pivotArea dataOnly="0" labelOnly="1" fieldPosition="0">
        <references count="1">
          <reference field="20" count="0"/>
        </references>
      </pivotArea>
    </format>
    <format dxfId="3122">
      <pivotArea dataOnly="0" labelOnly="1" grandRow="1" outline="0" fieldPosition="0"/>
    </format>
    <format dxfId="3123">
      <pivotArea dataOnly="0" labelOnly="1" outline="0" axis="axisValues" fieldPosition="0"/>
    </format>
    <format dxfId="3124">
      <pivotArea field="20" type="button" dataOnly="0" labelOnly="1" outline="0" axis="axisRow" fieldPosition="0"/>
    </format>
    <format dxfId="3125">
      <pivotArea type="origin" dataOnly="0" labelOnly="1" outline="0" fieldPosition="0"/>
    </format>
    <format dxfId="3126">
      <pivotArea type="origin" dataOnly="0" labelOnly="1" outline="0" fieldPosition="0"/>
    </format>
    <format dxfId="3127">
      <pivotArea collapsedLevelsAreSubtotals="1" fieldPosition="0">
        <references count="1">
          <reference field="20" count="0"/>
        </references>
      </pivotArea>
    </format>
    <format dxfId="3128">
      <pivotArea outline="0" collapsedLevelsAreSubtotals="1" fieldPosition="0"/>
    </format>
    <format dxfId="3129">
      <pivotArea outline="0" collapsedLevelsAreSubtotals="1" fieldPosition="0">
        <references count="1">
          <reference field="16" count="1" selected="0" defaultSubtotal="1">
            <x v="1"/>
          </reference>
        </references>
      </pivotArea>
    </format>
    <format dxfId="3130">
      <pivotArea dataOnly="0" labelOnly="1" fieldPosition="0">
        <references count="1">
          <reference field="16" count="1" defaultSubtotal="1">
            <x v="1"/>
          </reference>
        </references>
      </pivotArea>
    </format>
    <format dxfId="3131">
      <pivotArea dataOnly="0" labelOnly="1" fieldPosition="0">
        <references count="2">
          <reference field="16" count="1" selected="0">
            <x v="1"/>
          </reference>
          <reference field="36" count="0"/>
        </references>
      </pivotArea>
    </format>
    <format dxfId="3132">
      <pivotArea outline="0" collapsedLevelsAreSubtotals="1" fieldPosition="0">
        <references count="1">
          <reference field="16" count="1" selected="0" defaultSubtotal="1">
            <x v="2"/>
          </reference>
        </references>
      </pivotArea>
    </format>
    <format dxfId="3133">
      <pivotArea dataOnly="0" labelOnly="1" fieldPosition="0">
        <references count="1">
          <reference field="16" count="1" defaultSubtotal="1">
            <x v="2"/>
          </reference>
        </references>
      </pivotArea>
    </format>
    <format dxfId="3134">
      <pivotArea dataOnly="0" labelOnly="1" fieldPosition="0">
        <references count="2">
          <reference field="16" count="1" selected="0">
            <x v="2"/>
          </reference>
          <reference field="36" count="0"/>
        </references>
      </pivotArea>
    </format>
    <format dxfId="3135">
      <pivotArea outline="0" collapsedLevelsAreSubtotals="1" fieldPosition="0">
        <references count="1">
          <reference field="16" count="1" selected="0" defaultSubtotal="1">
            <x v="3"/>
          </reference>
        </references>
      </pivotArea>
    </format>
    <format dxfId="3136">
      <pivotArea dataOnly="0" labelOnly="1" fieldPosition="0">
        <references count="1">
          <reference field="16" count="1">
            <x v="3"/>
          </reference>
        </references>
      </pivotArea>
    </format>
    <format dxfId="3137">
      <pivotArea dataOnly="0" labelOnly="1" fieldPosition="0">
        <references count="1">
          <reference field="16" count="1" defaultSubtotal="1">
            <x v="3"/>
          </reference>
        </references>
      </pivotArea>
    </format>
    <format dxfId="3138">
      <pivotArea dataOnly="0" labelOnly="1" fieldPosition="0">
        <references count="2">
          <reference field="16" count="1" selected="0">
            <x v="3"/>
          </reference>
          <reference field="36" count="0"/>
        </references>
      </pivotArea>
    </format>
    <format dxfId="3139">
      <pivotArea outline="0" collapsedLevelsAreSubtotals="1" fieldPosition="0">
        <references count="1">
          <reference field="16" count="1" selected="0" defaultSubtotal="1">
            <x v="4"/>
          </reference>
        </references>
      </pivotArea>
    </format>
    <format dxfId="3140">
      <pivotArea dataOnly="0" labelOnly="1" fieldPosition="0">
        <references count="1">
          <reference field="16" count="1">
            <x v="4"/>
          </reference>
        </references>
      </pivotArea>
    </format>
    <format dxfId="3141">
      <pivotArea dataOnly="0" labelOnly="1" fieldPosition="0">
        <references count="1">
          <reference field="16" count="1" defaultSubtotal="1">
            <x v="4"/>
          </reference>
        </references>
      </pivotArea>
    </format>
    <format dxfId="3142">
      <pivotArea dataOnly="0" labelOnly="1" fieldPosition="0">
        <references count="2">
          <reference field="16" count="1" selected="0">
            <x v="4"/>
          </reference>
          <reference field="36" count="0"/>
        </references>
      </pivotArea>
    </format>
    <format dxfId="3143">
      <pivotArea outline="0" collapsedLevelsAreSubtotals="1" fieldPosition="0">
        <references count="1">
          <reference field="16" count="1" selected="0" defaultSubtotal="1">
            <x v="5"/>
          </reference>
        </references>
      </pivotArea>
    </format>
    <format dxfId="3144">
      <pivotArea dataOnly="0" labelOnly="1" fieldPosition="0">
        <references count="1">
          <reference field="16" count="1">
            <x v="5"/>
          </reference>
        </references>
      </pivotArea>
    </format>
    <format dxfId="3145">
      <pivotArea dataOnly="0" labelOnly="1" fieldPosition="0">
        <references count="1">
          <reference field="16" count="1" defaultSubtotal="1">
            <x v="5"/>
          </reference>
        </references>
      </pivotArea>
    </format>
    <format dxfId="3146">
      <pivotArea dataOnly="0" labelOnly="1" fieldPosition="0">
        <references count="2">
          <reference field="16" count="1" selected="0">
            <x v="5"/>
          </reference>
          <reference field="36" count="1">
            <x v="0"/>
          </reference>
        </references>
      </pivotArea>
    </format>
    <format dxfId="3147">
      <pivotArea outline="0" collapsedLevelsAreSubtotals="1" fieldPosition="0">
        <references count="1">
          <reference field="16" count="1" selected="0" defaultSubtotal="1">
            <x v="6"/>
          </reference>
        </references>
      </pivotArea>
    </format>
    <format dxfId="3148">
      <pivotArea dataOnly="0" labelOnly="1" fieldPosition="0">
        <references count="1">
          <reference field="16" count="1">
            <x v="6"/>
          </reference>
        </references>
      </pivotArea>
    </format>
    <format dxfId="3149">
      <pivotArea dataOnly="0" labelOnly="1" fieldPosition="0">
        <references count="1">
          <reference field="16" count="1" defaultSubtotal="1">
            <x v="6"/>
          </reference>
        </references>
      </pivotArea>
    </format>
    <format dxfId="3150">
      <pivotArea dataOnly="0" labelOnly="1" fieldPosition="0">
        <references count="2">
          <reference field="16" count="1" selected="0">
            <x v="6"/>
          </reference>
          <reference field="36" count="1">
            <x v="0"/>
          </reference>
        </references>
      </pivotArea>
    </format>
    <format dxfId="3151">
      <pivotArea outline="0" collapsedLevelsAreSubtotals="1" fieldPosition="0">
        <references count="1">
          <reference field="16" count="1" selected="0" defaultSubtotal="1">
            <x v="7"/>
          </reference>
        </references>
      </pivotArea>
    </format>
    <format dxfId="3152">
      <pivotArea dataOnly="0" labelOnly="1" fieldPosition="0">
        <references count="1">
          <reference field="16" count="1">
            <x v="7"/>
          </reference>
        </references>
      </pivotArea>
    </format>
    <format dxfId="3153">
      <pivotArea dataOnly="0" labelOnly="1" fieldPosition="0">
        <references count="1">
          <reference field="16" count="1" defaultSubtotal="1">
            <x v="7"/>
          </reference>
        </references>
      </pivotArea>
    </format>
    <format dxfId="3154">
      <pivotArea dataOnly="0" labelOnly="1" fieldPosition="0">
        <references count="2">
          <reference field="16" count="1" selected="0">
            <x v="7"/>
          </reference>
          <reference field="36" count="1">
            <x v="0"/>
          </reference>
        </references>
      </pivotArea>
    </format>
    <format dxfId="3155">
      <pivotArea dataOnly="0" labelOnly="1" fieldPosition="0">
        <references count="1">
          <reference field="16" count="1">
            <x v="1"/>
          </reference>
        </references>
      </pivotArea>
    </format>
    <format dxfId="3156">
      <pivotArea outline="0" collapsedLevelsAreSubtotals="1" fieldPosition="0">
        <references count="1">
          <reference field="16" count="1" selected="0" defaultSubtotal="1">
            <x v="1"/>
          </reference>
        </references>
      </pivotArea>
    </format>
    <format dxfId="3157">
      <pivotArea dataOnly="0" labelOnly="1" fieldPosition="0">
        <references count="1">
          <reference field="16" count="1" defaultSubtotal="1">
            <x v="1"/>
          </reference>
        </references>
      </pivotArea>
    </format>
    <format dxfId="3158">
      <pivotArea dataOnly="0" labelOnly="1" fieldPosition="0">
        <references count="1">
          <reference field="16" count="1">
            <x v="2"/>
          </reference>
        </references>
      </pivotArea>
    </format>
    <format dxfId="3159">
      <pivotArea outline="0" collapsedLevelsAreSubtotals="1" fieldPosition="0">
        <references count="2">
          <reference field="16" count="1" selected="0">
            <x v="2"/>
          </reference>
          <reference field="36" count="0" selected="0"/>
        </references>
      </pivotArea>
    </format>
    <format dxfId="3160">
      <pivotArea dataOnly="0" labelOnly="1" fieldPosition="0">
        <references count="1">
          <reference field="16" count="1">
            <x v="2"/>
          </reference>
        </references>
      </pivotArea>
    </format>
    <format dxfId="3161">
      <pivotArea dataOnly="0" labelOnly="1" fieldPosition="0">
        <references count="2">
          <reference field="16" count="1" selected="0">
            <x v="2"/>
          </reference>
          <reference field="36" count="0"/>
        </references>
      </pivotArea>
    </format>
    <format dxfId="3162">
      <pivotArea outline="0" collapsedLevelsAreSubtotals="1" fieldPosition="0">
        <references count="1">
          <reference field="16" count="1" selected="0" defaultSubtotal="1">
            <x v="0"/>
          </reference>
        </references>
      </pivotArea>
    </format>
    <format dxfId="3163">
      <pivotArea dataOnly="0" labelOnly="1" fieldPosition="0">
        <references count="1">
          <reference field="16" count="1">
            <x v="0"/>
          </reference>
        </references>
      </pivotArea>
    </format>
    <format dxfId="3164">
      <pivotArea dataOnly="0" labelOnly="1" fieldPosition="0">
        <references count="1">
          <reference field="16" count="1" defaultSubtotal="1">
            <x v="0"/>
          </reference>
        </references>
      </pivotArea>
    </format>
    <format dxfId="3165">
      <pivotArea dataOnly="0" labelOnly="1" fieldPosition="0">
        <references count="2">
          <reference field="16" count="1" selected="0">
            <x v="0"/>
          </reference>
          <reference field="36" count="1">
            <x v="1"/>
          </reference>
        </references>
      </pivotArea>
    </format>
    <format dxfId="3166">
      <pivotArea outline="0" collapsedLevelsAreSubtotals="1" fieldPosition="0">
        <references count="2">
          <reference field="16" count="1" selected="0">
            <x v="1"/>
          </reference>
          <reference field="36" count="0" selected="0"/>
        </references>
      </pivotArea>
    </format>
    <format dxfId="3167">
      <pivotArea dataOnly="0" labelOnly="1" fieldPosition="0">
        <references count="1">
          <reference field="16" count="1">
            <x v="1"/>
          </reference>
        </references>
      </pivotArea>
    </format>
    <format dxfId="3168">
      <pivotArea dataOnly="0" labelOnly="1" fieldPosition="0">
        <references count="2">
          <reference field="16" count="1" selected="0">
            <x v="1"/>
          </reference>
          <reference field="36" count="0"/>
        </references>
      </pivotArea>
    </format>
    <format dxfId="3169">
      <pivotArea outline="0" collapsedLevelsAreSubtotals="1" fieldPosition="0">
        <references count="1">
          <reference field="16" count="1" selected="0" defaultSubtotal="1">
            <x v="1"/>
          </reference>
        </references>
      </pivotArea>
    </format>
    <format dxfId="3109">
      <pivotArea outline="0" collapsedLevelsAreSubtotals="1" fieldPosition="0">
        <references count="1">
          <reference field="16" count="1" selected="0" defaultSubtotal="1">
            <x v="2"/>
          </reference>
        </references>
      </pivotArea>
    </format>
    <format dxfId="3108">
      <pivotArea dataOnly="0" labelOnly="1" fieldPosition="0">
        <references count="1">
          <reference field="16" count="1">
            <x v="2"/>
          </reference>
        </references>
      </pivotArea>
    </format>
    <format dxfId="3107">
      <pivotArea dataOnly="0" labelOnly="1" fieldPosition="0">
        <references count="1">
          <reference field="16" count="1" defaultSubtotal="1">
            <x v="2"/>
          </reference>
        </references>
      </pivotArea>
    </format>
    <format dxfId="3106">
      <pivotArea dataOnly="0" labelOnly="1" fieldPosition="0">
        <references count="2">
          <reference field="16" count="1" selected="0">
            <x v="2"/>
          </reference>
          <reference field="36" count="0"/>
        </references>
      </pivotArea>
    </format>
    <format dxfId="3105">
      <pivotArea outline="0" collapsedLevelsAreSubtotals="1" fieldPosition="0">
        <references count="1">
          <reference field="16" count="1" selected="0" defaultSubtotal="1">
            <x v="3"/>
          </reference>
        </references>
      </pivotArea>
    </format>
    <format dxfId="3104">
      <pivotArea dataOnly="0" labelOnly="1" fieldPosition="0">
        <references count="1">
          <reference field="16" count="1">
            <x v="3"/>
          </reference>
        </references>
      </pivotArea>
    </format>
    <format dxfId="3103">
      <pivotArea dataOnly="0" labelOnly="1" fieldPosition="0">
        <references count="1">
          <reference field="16" count="1" defaultSubtotal="1">
            <x v="3"/>
          </reference>
        </references>
      </pivotArea>
    </format>
    <format dxfId="3102">
      <pivotArea dataOnly="0" labelOnly="1" fieldPosition="0">
        <references count="2">
          <reference field="16" count="1" selected="0">
            <x v="3"/>
          </reference>
          <reference field="36" count="0"/>
        </references>
      </pivotArea>
    </format>
    <format dxfId="3101">
      <pivotArea outline="0" collapsedLevelsAreSubtotals="1" fieldPosition="0">
        <references count="1">
          <reference field="16" count="1" selected="0" defaultSubtotal="1">
            <x v="4"/>
          </reference>
        </references>
      </pivotArea>
    </format>
    <format dxfId="3100">
      <pivotArea dataOnly="0" labelOnly="1" fieldPosition="0">
        <references count="1">
          <reference field="16" count="1">
            <x v="4"/>
          </reference>
        </references>
      </pivotArea>
    </format>
    <format dxfId="3099">
      <pivotArea dataOnly="0" labelOnly="1" fieldPosition="0">
        <references count="1">
          <reference field="16" count="1" defaultSubtotal="1">
            <x v="4"/>
          </reference>
        </references>
      </pivotArea>
    </format>
    <format dxfId="3098">
      <pivotArea dataOnly="0" labelOnly="1" fieldPosition="0">
        <references count="2">
          <reference field="16" count="1" selected="0">
            <x v="4"/>
          </reference>
          <reference field="36" count="0"/>
        </references>
      </pivotArea>
    </format>
    <format dxfId="3097">
      <pivotArea outline="0" collapsedLevelsAreSubtotals="1" fieldPosition="0">
        <references count="1">
          <reference field="16" count="1" selected="0" defaultSubtotal="1">
            <x v="5"/>
          </reference>
        </references>
      </pivotArea>
    </format>
    <format dxfId="3096">
      <pivotArea dataOnly="0" labelOnly="1" fieldPosition="0">
        <references count="1">
          <reference field="16" count="1">
            <x v="5"/>
          </reference>
        </references>
      </pivotArea>
    </format>
    <format dxfId="3095">
      <pivotArea dataOnly="0" labelOnly="1" fieldPosition="0">
        <references count="1">
          <reference field="16" count="1" defaultSubtotal="1">
            <x v="5"/>
          </reference>
        </references>
      </pivotArea>
    </format>
    <format dxfId="3094">
      <pivotArea dataOnly="0" labelOnly="1" fieldPosition="0">
        <references count="2">
          <reference field="16" count="1" selected="0">
            <x v="5"/>
          </reference>
          <reference field="36" count="1">
            <x v="0"/>
          </reference>
        </references>
      </pivotArea>
    </format>
    <format dxfId="3093">
      <pivotArea outline="0" collapsedLevelsAreSubtotals="1" fieldPosition="0">
        <references count="1">
          <reference field="16" count="1" selected="0" defaultSubtotal="1">
            <x v="6"/>
          </reference>
        </references>
      </pivotArea>
    </format>
    <format dxfId="3092">
      <pivotArea dataOnly="0" labelOnly="1" fieldPosition="0">
        <references count="1">
          <reference field="16" count="1">
            <x v="6"/>
          </reference>
        </references>
      </pivotArea>
    </format>
    <format dxfId="3091">
      <pivotArea dataOnly="0" labelOnly="1" fieldPosition="0">
        <references count="1">
          <reference field="16" count="1" defaultSubtotal="1">
            <x v="6"/>
          </reference>
        </references>
      </pivotArea>
    </format>
    <format dxfId="3090">
      <pivotArea dataOnly="0" labelOnly="1" fieldPosition="0">
        <references count="2">
          <reference field="16" count="1" selected="0">
            <x v="6"/>
          </reference>
          <reference field="36" count="1">
            <x v="0"/>
          </reference>
        </references>
      </pivotArea>
    </format>
    <format dxfId="3089">
      <pivotArea outline="0" collapsedLevelsAreSubtotals="1" fieldPosition="0">
        <references count="1">
          <reference field="16" count="1" selected="0" defaultSubtotal="1">
            <x v="7"/>
          </reference>
        </references>
      </pivotArea>
    </format>
    <format dxfId="3088">
      <pivotArea dataOnly="0" labelOnly="1" fieldPosition="0">
        <references count="1">
          <reference field="16" count="1">
            <x v="7"/>
          </reference>
        </references>
      </pivotArea>
    </format>
    <format dxfId="3087">
      <pivotArea dataOnly="0" labelOnly="1" fieldPosition="0">
        <references count="1">
          <reference field="16" count="1" defaultSubtotal="1">
            <x v="7"/>
          </reference>
        </references>
      </pivotArea>
    </format>
    <format dxfId="3086">
      <pivotArea dataOnly="0" labelOnly="1" fieldPosition="0">
        <references count="2">
          <reference field="16" count="1" selected="0">
            <x v="7"/>
          </reference>
          <reference field="36" count="1">
            <x v="0"/>
          </reference>
        </references>
      </pivotArea>
    </format>
    <format dxfId="3085">
      <pivotArea type="origin" dataOnly="0" labelOnly="1" outline="0" offset="A2" fieldPosition="0"/>
    </format>
    <format dxfId="3084">
      <pivotArea field="20" type="button" dataOnly="0" labelOnly="1" outline="0" axis="axisRow" fieldPosition="0"/>
    </format>
    <format dxfId="3083">
      <pivotArea type="origin" dataOnly="0" labelOnly="1" outline="0" offset="A2" fieldPosition="0"/>
    </format>
    <format dxfId="3082">
      <pivotArea field="20" type="button" dataOnly="0" labelOnly="1" outline="0" axis="axisRow" fieldPosition="0"/>
    </format>
    <format dxfId="3081">
      <pivotArea type="origin" dataOnly="0" labelOnly="1" outline="0" offset="A2" fieldPosition="0"/>
    </format>
    <format dxfId="3080">
      <pivotArea field="20" type="button" dataOnly="0" labelOnly="1" outline="0" axis="axisRow" fieldPosition="0"/>
    </format>
    <format dxfId="3079">
      <pivotArea dataOnly="0" labelOnly="1" fieldPosition="0">
        <references count="1">
          <reference field="20" count="0"/>
        </references>
      </pivotArea>
    </format>
    <format dxfId="3078">
      <pivotArea dataOnly="0" labelOnly="1" grandRow="1" outline="0" fieldPosition="0"/>
    </format>
    <format dxfId="3077">
      <pivotArea dataOnly="0" labelOnly="1" fieldPosition="0">
        <references count="1">
          <reference field="16" count="0"/>
        </references>
      </pivotArea>
    </format>
    <format dxfId="3076">
      <pivotArea dataOnly="0" labelOnly="1" fieldPosition="0">
        <references count="1">
          <reference field="16" count="0" defaultSubtotal="1"/>
        </references>
      </pivotArea>
    </format>
    <format dxfId="3075">
      <pivotArea dataOnly="0" labelOnly="1" grandCol="1" outline="0" fieldPosition="0"/>
    </format>
    <format dxfId="3074">
      <pivotArea dataOnly="0" labelOnly="1" fieldPosition="0">
        <references count="2">
          <reference field="16" count="1" selected="0">
            <x v="0"/>
          </reference>
          <reference field="36" count="1">
            <x v="1"/>
          </reference>
        </references>
      </pivotArea>
    </format>
    <format dxfId="3073">
      <pivotArea dataOnly="0" labelOnly="1" fieldPosition="0">
        <references count="2">
          <reference field="16" count="1" selected="0">
            <x v="1"/>
          </reference>
          <reference field="36" count="0"/>
        </references>
      </pivotArea>
    </format>
    <format dxfId="3072">
      <pivotArea dataOnly="0" labelOnly="1" fieldPosition="0">
        <references count="2">
          <reference field="16" count="1" selected="0">
            <x v="2"/>
          </reference>
          <reference field="36" count="0"/>
        </references>
      </pivotArea>
    </format>
    <format dxfId="3071">
      <pivotArea dataOnly="0" labelOnly="1" fieldPosition="0">
        <references count="2">
          <reference field="16" count="1" selected="0">
            <x v="3"/>
          </reference>
          <reference field="36" count="0"/>
        </references>
      </pivotArea>
    </format>
    <format dxfId="3070">
      <pivotArea dataOnly="0" labelOnly="1" fieldPosition="0">
        <references count="2">
          <reference field="16" count="1" selected="0">
            <x v="4"/>
          </reference>
          <reference field="36" count="0"/>
        </references>
      </pivotArea>
    </format>
    <format dxfId="3069">
      <pivotArea dataOnly="0" labelOnly="1" fieldPosition="0">
        <references count="2">
          <reference field="16" count="1" selected="0">
            <x v="5"/>
          </reference>
          <reference field="36" count="1">
            <x v="0"/>
          </reference>
        </references>
      </pivotArea>
    </format>
    <format dxfId="3068">
      <pivotArea dataOnly="0" labelOnly="1" fieldPosition="0">
        <references count="2">
          <reference field="16" count="1" selected="0">
            <x v="6"/>
          </reference>
          <reference field="36" count="1">
            <x v="0"/>
          </reference>
        </references>
      </pivotArea>
    </format>
    <format dxfId="3067">
      <pivotArea dataOnly="0" labelOnly="1" fieldPosition="0">
        <references count="2">
          <reference field="16" count="1" selected="0">
            <x v="7"/>
          </reference>
          <reference field="36" count="1">
            <x v="0"/>
          </reference>
        </references>
      </pivotArea>
    </format>
    <format dxfId="3066">
      <pivotArea dataOnly="0" labelOnly="1" fieldPosition="0">
        <references count="1">
          <reference field="16" count="0"/>
        </references>
      </pivotArea>
    </format>
    <format dxfId="3065">
      <pivotArea dataOnly="0" labelOnly="1" fieldPosition="0">
        <references count="1">
          <reference field="16" count="0" defaultSubtotal="1"/>
        </references>
      </pivotArea>
    </format>
    <format dxfId="3064">
      <pivotArea dataOnly="0" labelOnly="1" grandCol="1" outline="0" fieldPosition="0"/>
    </format>
    <format dxfId="3063">
      <pivotArea dataOnly="0" labelOnly="1" fieldPosition="0">
        <references count="2">
          <reference field="16" count="1" selected="0">
            <x v="0"/>
          </reference>
          <reference field="36" count="1">
            <x v="1"/>
          </reference>
        </references>
      </pivotArea>
    </format>
    <format dxfId="3062">
      <pivotArea dataOnly="0" labelOnly="1" fieldPosition="0">
        <references count="2">
          <reference field="16" count="1" selected="0">
            <x v="1"/>
          </reference>
          <reference field="36" count="0"/>
        </references>
      </pivotArea>
    </format>
    <format dxfId="3061">
      <pivotArea dataOnly="0" labelOnly="1" fieldPosition="0">
        <references count="2">
          <reference field="16" count="1" selected="0">
            <x v="2"/>
          </reference>
          <reference field="36" count="0"/>
        </references>
      </pivotArea>
    </format>
    <format dxfId="3060">
      <pivotArea dataOnly="0" labelOnly="1" fieldPosition="0">
        <references count="2">
          <reference field="16" count="1" selected="0">
            <x v="3"/>
          </reference>
          <reference field="36" count="0"/>
        </references>
      </pivotArea>
    </format>
    <format dxfId="3059">
      <pivotArea dataOnly="0" labelOnly="1" fieldPosition="0">
        <references count="2">
          <reference field="16" count="1" selected="0">
            <x v="4"/>
          </reference>
          <reference field="36" count="0"/>
        </references>
      </pivotArea>
    </format>
    <format dxfId="3058">
      <pivotArea dataOnly="0" labelOnly="1" fieldPosition="0">
        <references count="2">
          <reference field="16" count="1" selected="0">
            <x v="5"/>
          </reference>
          <reference field="36" count="1">
            <x v="0"/>
          </reference>
        </references>
      </pivotArea>
    </format>
    <format dxfId="3057">
      <pivotArea dataOnly="0" labelOnly="1" fieldPosition="0">
        <references count="2">
          <reference field="16" count="1" selected="0">
            <x v="6"/>
          </reference>
          <reference field="36" count="1">
            <x v="0"/>
          </reference>
        </references>
      </pivotArea>
    </format>
    <format dxfId="3056">
      <pivotArea dataOnly="0" labelOnly="1" fieldPosition="0">
        <references count="2">
          <reference field="16" count="1" selected="0">
            <x v="7"/>
          </reference>
          <reference field="36" count="1">
            <x v="0"/>
          </reference>
        </references>
      </pivotArea>
    </format>
    <format dxfId="3055">
      <pivotArea grandRow="1" grandCol="1" outline="0" collapsedLevelsAreSubtotals="1" fieldPosition="0"/>
    </format>
    <format dxfId="3054">
      <pivotArea grandRow="1" outline="0" collapsedLevelsAreSubtotals="1" fieldPosition="0"/>
    </format>
    <format dxfId="3053">
      <pivotArea dataOnly="0" labelOnly="1" grandRow="1" outline="0" fieldPosition="0"/>
    </format>
    <format dxfId="3052">
      <pivotArea dataOnly="0" grandCol="1" outline="0" fieldPosition="0"/>
    </format>
    <format dxfId="3051">
      <pivotArea dataOnly="0" labelOnly="1" fieldPosition="0">
        <references count="1">
          <reference field="16" count="1" defaultSubtotal="1">
            <x v="1"/>
          </reference>
        </references>
      </pivotArea>
    </format>
    <format dxfId="3050">
      <pivotArea dataOnly="0" labelOnly="1" fieldPosition="0">
        <references count="1">
          <reference field="16" count="1" defaultSubtotal="1">
            <x v="2"/>
          </reference>
        </references>
      </pivotArea>
    </format>
    <format dxfId="3049">
      <pivotArea dataOnly="0" labelOnly="1" fieldPosition="0">
        <references count="1">
          <reference field="16" count="1" defaultSubtotal="1">
            <x v="3"/>
          </reference>
        </references>
      </pivotArea>
    </format>
    <format dxfId="3048">
      <pivotArea dataOnly="0" labelOnly="1" grandCol="1" outline="0" fieldPosition="0"/>
    </format>
    <format dxfId="3047">
      <pivotArea dataOnly="0" labelOnly="1" fieldPosition="0">
        <references count="2">
          <reference field="16" count="1" selected="0">
            <x v="1"/>
          </reference>
          <reference field="36" count="0"/>
        </references>
      </pivotArea>
    </format>
    <format dxfId="3046">
      <pivotArea dataOnly="0" labelOnly="1" fieldPosition="0">
        <references count="2">
          <reference field="16" count="1" selected="0">
            <x v="2"/>
          </reference>
          <reference field="36" count="0"/>
        </references>
      </pivotArea>
    </format>
    <format dxfId="3045">
      <pivotArea dataOnly="0" labelOnly="1" fieldPosition="0">
        <references count="2">
          <reference field="16" count="1" selected="0">
            <x v="3"/>
          </reference>
          <reference field="36" count="0"/>
        </references>
      </pivotArea>
    </format>
    <format dxfId="3044">
      <pivotArea dataOnly="0" labelOnly="1" fieldPosition="0">
        <references count="2">
          <reference field="16" count="1" selected="0">
            <x v="4"/>
          </reference>
          <reference field="36" count="0"/>
        </references>
      </pivotArea>
    </format>
    <format dxfId="3043">
      <pivotArea dataOnly="0" labelOnly="1" fieldPosition="0">
        <references count="2">
          <reference field="16" count="1" selected="0">
            <x v="5"/>
          </reference>
          <reference field="36" count="1">
            <x v="0"/>
          </reference>
        </references>
      </pivotArea>
    </format>
    <format dxfId="3042">
      <pivotArea dataOnly="0" labelOnly="1" fieldPosition="0">
        <references count="2">
          <reference field="16" count="1" selected="0">
            <x v="6"/>
          </reference>
          <reference field="36" count="1">
            <x v="0"/>
          </reference>
        </references>
      </pivotArea>
    </format>
    <format dxfId="3041">
      <pivotArea dataOnly="0" labelOnly="1" fieldPosition="0">
        <references count="2">
          <reference field="16" count="1" selected="0">
            <x v="7"/>
          </reference>
          <reference field="36" count="1">
            <x v="0"/>
          </reference>
        </references>
      </pivotArea>
    </format>
    <format dxfId="3040">
      <pivotArea collapsedLevelsAreSubtotals="1" fieldPosition="0">
        <references count="2">
          <reference field="16" count="1" selected="0" defaultSubtotal="1">
            <x v="1"/>
          </reference>
          <reference field="20" count="1">
            <x v="1"/>
          </reference>
        </references>
      </pivotArea>
    </format>
    <format dxfId="3039">
      <pivotArea collapsedLevelsAreSubtotals="1" fieldPosition="0">
        <references count="2">
          <reference field="16" count="1" selected="0" defaultSubtotal="1">
            <x v="1"/>
          </reference>
          <reference field="20" count="1">
            <x v="2"/>
          </reference>
        </references>
      </pivotArea>
    </format>
    <format dxfId="3038">
      <pivotArea collapsedLevelsAreSubtotals="1" fieldPosition="0">
        <references count="2">
          <reference field="16" count="1" selected="0" defaultSubtotal="1">
            <x v="1"/>
          </reference>
          <reference field="20" count="1">
            <x v="3"/>
          </reference>
        </references>
      </pivotArea>
    </format>
    <format dxfId="3037">
      <pivotArea collapsedLevelsAreSubtotals="1" fieldPosition="0">
        <references count="2">
          <reference field="16" count="1" selected="0" defaultSubtotal="1">
            <x v="1"/>
          </reference>
          <reference field="20" count="1">
            <x v="5"/>
          </reference>
        </references>
      </pivotArea>
    </format>
    <format dxfId="3036">
      <pivotArea collapsedLevelsAreSubtotals="1" fieldPosition="0">
        <references count="2">
          <reference field="16" count="1" selected="0" defaultSubtotal="1">
            <x v="1"/>
          </reference>
          <reference field="20" count="1">
            <x v="6"/>
          </reference>
        </references>
      </pivotArea>
    </format>
    <format dxfId="3035">
      <pivotArea collapsedLevelsAreSubtotals="1" fieldPosition="0">
        <references count="2">
          <reference field="16" count="1" selected="0" defaultSubtotal="1">
            <x v="1"/>
          </reference>
          <reference field="20" count="1">
            <x v="8"/>
          </reference>
        </references>
      </pivotArea>
    </format>
    <format dxfId="3034">
      <pivotArea dataOnly="0" labelOnly="1" fieldPosition="0">
        <references count="2">
          <reference field="16" count="1" selected="0">
            <x v="1"/>
          </reference>
          <reference field="36" count="0"/>
        </references>
      </pivotArea>
    </format>
    <format dxfId="3033">
      <pivotArea outline="0" collapsedLevelsAreSubtotals="1" fieldPosition="0">
        <references count="1">
          <reference field="16" count="1" selected="0" defaultSubtotal="1">
            <x v="1"/>
          </reference>
        </references>
      </pivotArea>
    </format>
    <format dxfId="3032">
      <pivotArea dataOnly="0" labelOnly="1" fieldPosition="0">
        <references count="1">
          <reference field="16" count="1">
            <x v="1"/>
          </reference>
        </references>
      </pivotArea>
    </format>
    <format dxfId="3031">
      <pivotArea dataOnly="0" labelOnly="1" fieldPosition="0">
        <references count="1">
          <reference field="16" count="1">
            <x v="1"/>
          </reference>
        </references>
      </pivotArea>
    </format>
    <format dxfId="3030">
      <pivotArea dataOnly="0" labelOnly="1" fieldPosition="0">
        <references count="2">
          <reference field="16" count="1" selected="0">
            <x v="1"/>
          </reference>
          <reference field="36" count="0"/>
        </references>
      </pivotArea>
    </format>
    <format dxfId="3029">
      <pivotArea dataOnly="0" labelOnly="1" fieldPosition="0">
        <references count="1">
          <reference field="16" count="1">
            <x v="1"/>
          </reference>
        </references>
      </pivotArea>
    </format>
    <format dxfId="3028">
      <pivotArea dataOnly="0" labelOnly="1" fieldPosition="0">
        <references count="2">
          <reference field="16" count="1" selected="0">
            <x v="1"/>
          </reference>
          <reference field="36" count="0"/>
        </references>
      </pivotArea>
    </format>
    <format dxfId="3027">
      <pivotArea dataOnly="0" labelOnly="1" fieldPosition="0">
        <references count="1">
          <reference field="16" count="1">
            <x v="1"/>
          </reference>
        </references>
      </pivotArea>
    </format>
    <format dxfId="3026">
      <pivotArea dataOnly="0" labelOnly="1" fieldPosition="0">
        <references count="2">
          <reference field="16" count="1" selected="0">
            <x v="1"/>
          </reference>
          <reference field="36" count="0"/>
        </references>
      </pivotArea>
    </format>
    <format dxfId="3025">
      <pivotArea dataOnly="0" labelOnly="1" fieldPosition="0">
        <references count="1">
          <reference field="16" count="1" defaultSubtotal="1">
            <x v="1"/>
          </reference>
        </references>
      </pivotArea>
    </format>
    <format dxfId="3024">
      <pivotArea dataOnly="0" outline="0" fieldPosition="0">
        <references count="1">
          <reference field="16" count="1" defaultSubtotal="1">
            <x v="6"/>
          </reference>
        </references>
      </pivotArea>
    </format>
    <format dxfId="3023">
      <pivotArea dataOnly="0" grandCol="1" outline="0" axis="axisCol" fieldPosition="0"/>
    </format>
    <format dxfId="3022">
      <pivotArea grandRow="1" outline="0" collapsedLevelsAreSubtotals="1" fieldPosition="0"/>
    </format>
    <format dxfId="3021">
      <pivotArea dataOnly="0" labelOnly="1" grandRow="1" outline="0" fieldPosition="0"/>
    </format>
    <format dxfId="3020">
      <pivotArea dataOnly="0" labelOnly="1" fieldPosition="0">
        <references count="1">
          <reference field="20" count="0"/>
        </references>
      </pivotArea>
    </format>
    <format dxfId="3019">
      <pivotArea dataOnly="0" labelOnly="1" fieldPosition="0">
        <references count="1">
          <reference field="16" count="0"/>
        </references>
      </pivotArea>
    </format>
    <format dxfId="3018">
      <pivotArea dataOnly="0" labelOnly="1" fieldPosition="0">
        <references count="1">
          <reference field="16" count="0" defaultSubtotal="1"/>
        </references>
      </pivotArea>
    </format>
    <format dxfId="3017">
      <pivotArea dataOnly="0" labelOnly="1" grandCol="1" outline="0" fieldPosition="0"/>
    </format>
    <format dxfId="3016">
      <pivotArea dataOnly="0" labelOnly="1" fieldPosition="0">
        <references count="2">
          <reference field="16" count="1" selected="0">
            <x v="0"/>
          </reference>
          <reference field="36" count="1">
            <x v="1"/>
          </reference>
        </references>
      </pivotArea>
    </format>
    <format dxfId="3015">
      <pivotArea dataOnly="0" labelOnly="1" fieldPosition="0">
        <references count="2">
          <reference field="16" count="1" selected="0">
            <x v="1"/>
          </reference>
          <reference field="36" count="0"/>
        </references>
      </pivotArea>
    </format>
    <format dxfId="3014">
      <pivotArea dataOnly="0" labelOnly="1" fieldPosition="0">
        <references count="2">
          <reference field="16" count="1" selected="0">
            <x v="2"/>
          </reference>
          <reference field="36" count="0"/>
        </references>
      </pivotArea>
    </format>
    <format dxfId="3013">
      <pivotArea dataOnly="0" labelOnly="1" fieldPosition="0">
        <references count="2">
          <reference field="16" count="1" selected="0">
            <x v="3"/>
          </reference>
          <reference field="36" count="0"/>
        </references>
      </pivotArea>
    </format>
    <format dxfId="3012">
      <pivotArea dataOnly="0" labelOnly="1" fieldPosition="0">
        <references count="2">
          <reference field="16" count="1" selected="0">
            <x v="4"/>
          </reference>
          <reference field="36" count="0"/>
        </references>
      </pivotArea>
    </format>
    <format dxfId="3011">
      <pivotArea dataOnly="0" labelOnly="1" fieldPosition="0">
        <references count="2">
          <reference field="16" count="1" selected="0">
            <x v="5"/>
          </reference>
          <reference field="36" count="1">
            <x v="0"/>
          </reference>
        </references>
      </pivotArea>
    </format>
    <format dxfId="3010">
      <pivotArea dataOnly="0" labelOnly="1" fieldPosition="0">
        <references count="2">
          <reference field="16" count="1" selected="0">
            <x v="6"/>
          </reference>
          <reference field="36" count="1">
            <x v="0"/>
          </reference>
        </references>
      </pivotArea>
    </format>
    <format dxfId="3009">
      <pivotArea dataOnly="0" labelOnly="1" fieldPosition="0">
        <references count="2">
          <reference field="16" count="1" selected="0">
            <x v="7"/>
          </reference>
          <reference field="36" count="1">
            <x v="0"/>
          </reference>
        </references>
      </pivotArea>
    </format>
    <format dxfId="3008">
      <pivotArea dataOnly="0" labelOnly="1" fieldPosition="0">
        <references count="1">
          <reference field="16" count="1">
            <x v="1"/>
          </reference>
        </references>
      </pivotArea>
    </format>
    <format dxfId="3007">
      <pivotArea dataOnly="0" labelOnly="1" fieldPosition="0">
        <references count="1">
          <reference field="16" count="1">
            <x v="2"/>
          </reference>
        </references>
      </pivotArea>
    </format>
    <format dxfId="3006">
      <pivotArea dataOnly="0" labelOnly="1" fieldPosition="0">
        <references count="1">
          <reference field="16" count="1" defaultSubtotal="1">
            <x v="2"/>
          </reference>
        </references>
      </pivotArea>
    </format>
    <format dxfId="3005">
      <pivotArea dataOnly="0" labelOnly="1" fieldPosition="0">
        <references count="1">
          <reference field="16" count="1">
            <x v="2"/>
          </reference>
        </references>
      </pivotArea>
    </format>
    <format dxfId="3004">
      <pivotArea dataOnly="0" labelOnly="1" fieldPosition="0">
        <references count="2">
          <reference field="16" count="1" selected="0">
            <x v="2"/>
          </reference>
          <reference field="36" count="0"/>
        </references>
      </pivotArea>
    </format>
    <format dxfId="3003">
      <pivotArea dataOnly="0" labelOnly="1" fieldPosition="0">
        <references count="1">
          <reference field="16" count="1">
            <x v="3"/>
          </reference>
        </references>
      </pivotArea>
    </format>
    <format dxfId="3002">
      <pivotArea dataOnly="0" labelOnly="1" fieldPosition="0">
        <references count="1">
          <reference field="16" count="1" defaultSubtotal="1">
            <x v="3"/>
          </reference>
        </references>
      </pivotArea>
    </format>
    <format dxfId="3001">
      <pivotArea dataOnly="0" labelOnly="1" fieldPosition="0">
        <references count="1">
          <reference field="16" count="1">
            <x v="0"/>
          </reference>
        </references>
      </pivotArea>
    </format>
    <format dxfId="3000">
      <pivotArea dataOnly="0" labelOnly="1" fieldPosition="0">
        <references count="2">
          <reference field="16" count="1" selected="0">
            <x v="0"/>
          </reference>
          <reference field="36" count="1">
            <x v="1"/>
          </reference>
        </references>
      </pivotArea>
    </format>
    <format dxfId="2999">
      <pivotArea dataOnly="0" labelOnly="1" fieldPosition="0">
        <references count="1">
          <reference field="16" count="1" defaultSubtotal="1">
            <x v="0"/>
          </reference>
        </references>
      </pivotArea>
    </format>
    <format dxfId="2998">
      <pivotArea field="20" type="button" dataOnly="0" labelOnly="1" outline="0" axis="axisRow" fieldPosition="0"/>
    </format>
    <format dxfId="2997">
      <pivotArea dataOnly="0" labelOnly="1" fieldPosition="0">
        <references count="1">
          <reference field="16" count="1" defaultSubtotal="1">
            <x v="0"/>
          </reference>
        </references>
      </pivotArea>
    </format>
    <format dxfId="2996">
      <pivotArea dataOnly="0" labelOnly="1" fieldPosition="0">
        <references count="1">
          <reference field="16" count="1" defaultSubtotal="1">
            <x v="1"/>
          </reference>
        </references>
      </pivotArea>
    </format>
    <format dxfId="2995">
      <pivotArea dataOnly="0" labelOnly="1" fieldPosition="0">
        <references count="1">
          <reference field="16" count="1" defaultSubtotal="1">
            <x v="2"/>
          </reference>
        </references>
      </pivotArea>
    </format>
    <format dxfId="2994">
      <pivotArea dataOnly="0" labelOnly="1" fieldPosition="0">
        <references count="1">
          <reference field="16" count="1" defaultSubtotal="1">
            <x v="3"/>
          </reference>
        </references>
      </pivotArea>
    </format>
    <format dxfId="2993">
      <pivotArea dataOnly="0" labelOnly="1" fieldPosition="0">
        <references count="1">
          <reference field="16" count="1" defaultSubtotal="1">
            <x v="4"/>
          </reference>
        </references>
      </pivotArea>
    </format>
    <format dxfId="2992">
      <pivotArea dataOnly="0" labelOnly="1" fieldPosition="0">
        <references count="1">
          <reference field="16" count="1" defaultSubtotal="1">
            <x v="5"/>
          </reference>
        </references>
      </pivotArea>
    </format>
    <format dxfId="2991">
      <pivotArea dataOnly="0" labelOnly="1" fieldPosition="0">
        <references count="1">
          <reference field="16" count="1" defaultSubtotal="1">
            <x v="6"/>
          </reference>
        </references>
      </pivotArea>
    </format>
    <format dxfId="2990">
      <pivotArea dataOnly="0" labelOnly="1" fieldPosition="0">
        <references count="1">
          <reference field="16" count="1" defaultSubtotal="1">
            <x v="7"/>
          </reference>
        </references>
      </pivotArea>
    </format>
    <format dxfId="2989">
      <pivotArea dataOnly="0" labelOnly="1" grandCol="1" outline="0" fieldPosition="0"/>
    </format>
    <format dxfId="2988">
      <pivotArea dataOnly="0" labelOnly="1" fieldPosition="0">
        <references count="2">
          <reference field="16" count="1" selected="0">
            <x v="0"/>
          </reference>
          <reference field="36" count="1">
            <x v="1"/>
          </reference>
        </references>
      </pivotArea>
    </format>
    <format dxfId="2987">
      <pivotArea dataOnly="0" labelOnly="1" fieldPosition="0">
        <references count="2">
          <reference field="16" count="1" selected="0">
            <x v="1"/>
          </reference>
          <reference field="36" count="0"/>
        </references>
      </pivotArea>
    </format>
    <format dxfId="2986">
      <pivotArea dataOnly="0" labelOnly="1" fieldPosition="0">
        <references count="2">
          <reference field="16" count="1" selected="0">
            <x v="2"/>
          </reference>
          <reference field="36" count="0"/>
        </references>
      </pivotArea>
    </format>
    <format dxfId="2985">
      <pivotArea dataOnly="0" labelOnly="1" fieldPosition="0">
        <references count="2">
          <reference field="16" count="1" selected="0">
            <x v="3"/>
          </reference>
          <reference field="36" count="0"/>
        </references>
      </pivotArea>
    </format>
    <format dxfId="2984">
      <pivotArea dataOnly="0" labelOnly="1" fieldPosition="0">
        <references count="2">
          <reference field="16" count="1" selected="0">
            <x v="4"/>
          </reference>
          <reference field="36" count="0"/>
        </references>
      </pivotArea>
    </format>
    <format dxfId="2983">
      <pivotArea dataOnly="0" labelOnly="1" fieldPosition="0">
        <references count="2">
          <reference field="16" count="1" selected="0">
            <x v="5"/>
          </reference>
          <reference field="36" count="1">
            <x v="0"/>
          </reference>
        </references>
      </pivotArea>
    </format>
    <format dxfId="2982">
      <pivotArea dataOnly="0" labelOnly="1" fieldPosition="0">
        <references count="2">
          <reference field="16" count="1" selected="0">
            <x v="6"/>
          </reference>
          <reference field="36" count="1">
            <x v="0"/>
          </reference>
        </references>
      </pivotArea>
    </format>
    <format dxfId="2981">
      <pivotArea dataOnly="0" labelOnly="1" fieldPosition="0">
        <references count="2">
          <reference field="16" count="1" selected="0">
            <x v="7"/>
          </reference>
          <reference field="36" count="1">
            <x v="0"/>
          </reference>
        </references>
      </pivotArea>
    </format>
    <format dxfId="2980">
      <pivotArea field="20" type="button" dataOnly="0" labelOnly="1" outline="0" axis="axisRow" fieldPosition="0"/>
    </format>
    <format dxfId="2979">
      <pivotArea dataOnly="0" labelOnly="1" fieldPosition="0">
        <references count="1">
          <reference field="16" count="1" defaultSubtotal="1">
            <x v="0"/>
          </reference>
        </references>
      </pivotArea>
    </format>
    <format dxfId="2978">
      <pivotArea dataOnly="0" labelOnly="1" fieldPosition="0">
        <references count="1">
          <reference field="16" count="1" defaultSubtotal="1">
            <x v="1"/>
          </reference>
        </references>
      </pivotArea>
    </format>
    <format dxfId="2977">
      <pivotArea dataOnly="0" labelOnly="1" fieldPosition="0">
        <references count="1">
          <reference field="16" count="1" defaultSubtotal="1">
            <x v="2"/>
          </reference>
        </references>
      </pivotArea>
    </format>
    <format dxfId="2976">
      <pivotArea dataOnly="0" labelOnly="1" fieldPosition="0">
        <references count="1">
          <reference field="16" count="1" defaultSubtotal="1">
            <x v="3"/>
          </reference>
        </references>
      </pivotArea>
    </format>
    <format dxfId="2975">
      <pivotArea dataOnly="0" labelOnly="1" fieldPosition="0">
        <references count="1">
          <reference field="16" count="1" defaultSubtotal="1">
            <x v="4"/>
          </reference>
        </references>
      </pivotArea>
    </format>
    <format dxfId="2974">
      <pivotArea dataOnly="0" labelOnly="1" fieldPosition="0">
        <references count="1">
          <reference field="16" count="1" defaultSubtotal="1">
            <x v="5"/>
          </reference>
        </references>
      </pivotArea>
    </format>
    <format dxfId="2973">
      <pivotArea dataOnly="0" labelOnly="1" fieldPosition="0">
        <references count="1">
          <reference field="16" count="1" defaultSubtotal="1">
            <x v="6"/>
          </reference>
        </references>
      </pivotArea>
    </format>
    <format dxfId="2972">
      <pivotArea dataOnly="0" labelOnly="1" fieldPosition="0">
        <references count="1">
          <reference field="16" count="1" defaultSubtotal="1">
            <x v="7"/>
          </reference>
        </references>
      </pivotArea>
    </format>
    <format dxfId="2971">
      <pivotArea dataOnly="0" labelOnly="1" grandCol="1" outline="0" fieldPosition="0"/>
    </format>
    <format dxfId="2970">
      <pivotArea dataOnly="0" labelOnly="1" fieldPosition="0">
        <references count="2">
          <reference field="16" count="1" selected="0">
            <x v="0"/>
          </reference>
          <reference field="36" count="1">
            <x v="1"/>
          </reference>
        </references>
      </pivotArea>
    </format>
    <format dxfId="2969">
      <pivotArea dataOnly="0" labelOnly="1" fieldPosition="0">
        <references count="2">
          <reference field="16" count="1" selected="0">
            <x v="1"/>
          </reference>
          <reference field="36" count="0"/>
        </references>
      </pivotArea>
    </format>
    <format dxfId="2968">
      <pivotArea dataOnly="0" labelOnly="1" fieldPosition="0">
        <references count="2">
          <reference field="16" count="1" selected="0">
            <x v="2"/>
          </reference>
          <reference field="36" count="0"/>
        </references>
      </pivotArea>
    </format>
    <format dxfId="2967">
      <pivotArea dataOnly="0" labelOnly="1" fieldPosition="0">
        <references count="2">
          <reference field="16" count="1" selected="0">
            <x v="3"/>
          </reference>
          <reference field="36" count="0"/>
        </references>
      </pivotArea>
    </format>
    <format dxfId="2966">
      <pivotArea dataOnly="0" labelOnly="1" fieldPosition="0">
        <references count="2">
          <reference field="16" count="1" selected="0">
            <x v="4"/>
          </reference>
          <reference field="36" count="0"/>
        </references>
      </pivotArea>
    </format>
    <format dxfId="2965">
      <pivotArea dataOnly="0" labelOnly="1" fieldPosition="0">
        <references count="2">
          <reference field="16" count="1" selected="0">
            <x v="5"/>
          </reference>
          <reference field="36" count="1">
            <x v="0"/>
          </reference>
        </references>
      </pivotArea>
    </format>
    <format dxfId="2964">
      <pivotArea dataOnly="0" labelOnly="1" fieldPosition="0">
        <references count="2">
          <reference field="16" count="1" selected="0">
            <x v="6"/>
          </reference>
          <reference field="36" count="1">
            <x v="0"/>
          </reference>
        </references>
      </pivotArea>
    </format>
    <format dxfId="2963">
      <pivotArea dataOnly="0" labelOnly="1" fieldPosition="0">
        <references count="2">
          <reference field="16" count="1" selected="0">
            <x v="7"/>
          </reference>
          <reference field="36" count="1">
            <x v="0"/>
          </reference>
        </references>
      </pivotArea>
    </format>
    <format dxfId="2962">
      <pivotArea dataOnly="0" labelOnly="1" fieldPosition="0">
        <references count="1">
          <reference field="16" count="1">
            <x v="4"/>
          </reference>
        </references>
      </pivotArea>
    </format>
    <format dxfId="2961">
      <pivotArea dataOnly="0" labelOnly="1" fieldPosition="0">
        <references count="2">
          <reference field="16" count="1" selected="0">
            <x v="4"/>
          </reference>
          <reference field="36" count="0"/>
        </references>
      </pivotArea>
    </format>
    <format dxfId="2960">
      <pivotArea dataOnly="0" labelOnly="1" fieldPosition="0">
        <references count="1">
          <reference field="16" count="1" defaultSubtotal="1">
            <x v="4"/>
          </reference>
        </references>
      </pivotArea>
    </format>
    <format dxfId="2959">
      <pivotArea collapsedLevelsAreSubtotals="1" fieldPosition="0">
        <references count="2">
          <reference field="16" count="1" selected="0" defaultSubtotal="1">
            <x v="1"/>
          </reference>
          <reference field="20" count="1">
            <x v="1"/>
          </reference>
        </references>
      </pivotArea>
    </format>
    <format dxfId="2958">
      <pivotArea collapsedLevelsAreSubtotals="1" fieldPosition="0">
        <references count="2">
          <reference field="16" count="1" selected="0" defaultSubtotal="1">
            <x v="1"/>
          </reference>
          <reference field="20" count="1">
            <x v="2"/>
          </reference>
        </references>
      </pivotArea>
    </format>
    <format dxfId="2957">
      <pivotArea collapsedLevelsAreSubtotals="1" fieldPosition="0">
        <references count="2">
          <reference field="16" count="1" selected="0" defaultSubtotal="1">
            <x v="1"/>
          </reference>
          <reference field="20" count="1">
            <x v="3"/>
          </reference>
        </references>
      </pivotArea>
    </format>
    <format dxfId="2956">
      <pivotArea collapsedLevelsAreSubtotals="1" fieldPosition="0">
        <references count="2">
          <reference field="16" count="1" selected="0" defaultSubtotal="1">
            <x v="1"/>
          </reference>
          <reference field="20" count="1">
            <x v="5"/>
          </reference>
        </references>
      </pivotArea>
    </format>
    <format dxfId="2955">
      <pivotArea collapsedLevelsAreSubtotals="1" fieldPosition="0">
        <references count="2">
          <reference field="16" count="1" selected="0" defaultSubtotal="1">
            <x v="1"/>
          </reference>
          <reference field="20" count="1">
            <x v="6"/>
          </reference>
        </references>
      </pivotArea>
    </format>
    <format dxfId="2954">
      <pivotArea collapsedLevelsAreSubtotals="1" fieldPosition="0">
        <references count="2">
          <reference field="16" count="1" selected="0" defaultSubtotal="1">
            <x v="1"/>
          </reference>
          <reference field="20" count="1">
            <x v="8"/>
          </reference>
        </references>
      </pivotArea>
    </format>
    <format dxfId="2953">
      <pivotArea collapsedLevelsAreSubtotals="1" fieldPosition="0">
        <references count="2">
          <reference field="16" count="1" selected="0" defaultSubtotal="1">
            <x v="3"/>
          </reference>
          <reference field="20" count="1">
            <x v="1"/>
          </reference>
        </references>
      </pivotArea>
    </format>
    <format dxfId="2952">
      <pivotArea collapsedLevelsAreSubtotals="1" fieldPosition="0">
        <references count="2">
          <reference field="16" count="1" selected="0" defaultSubtotal="1">
            <x v="3"/>
          </reference>
          <reference field="20" count="1">
            <x v="2"/>
          </reference>
        </references>
      </pivotArea>
    </format>
    <format dxfId="2951">
      <pivotArea collapsedLevelsAreSubtotals="1" fieldPosition="0">
        <references count="2">
          <reference field="16" count="1" selected="0" defaultSubtotal="1">
            <x v="3"/>
          </reference>
          <reference field="20" count="1">
            <x v="3"/>
          </reference>
        </references>
      </pivotArea>
    </format>
    <format dxfId="2950">
      <pivotArea collapsedLevelsAreSubtotals="1" fieldPosition="0">
        <references count="2">
          <reference field="16" count="1" selected="0" defaultSubtotal="1">
            <x v="3"/>
          </reference>
          <reference field="20" count="1">
            <x v="5"/>
          </reference>
        </references>
      </pivotArea>
    </format>
    <format dxfId="2949">
      <pivotArea collapsedLevelsAreSubtotals="1" fieldPosition="0">
        <references count="2">
          <reference field="16" count="1" selected="0" defaultSubtotal="1">
            <x v="3"/>
          </reference>
          <reference field="20" count="1">
            <x v="6"/>
          </reference>
        </references>
      </pivotArea>
    </format>
    <format dxfId="2948">
      <pivotArea collapsedLevelsAreSubtotals="1" fieldPosition="0">
        <references count="2">
          <reference field="16" count="1" selected="0" defaultSubtotal="1">
            <x v="3"/>
          </reference>
          <reference field="20" count="1">
            <x v="8"/>
          </reference>
        </references>
      </pivotArea>
    </format>
    <format dxfId="2947">
      <pivotArea dataOnly="0" labelOnly="1" fieldPosition="0">
        <references count="1">
          <reference field="16" count="1" defaultSubtotal="1">
            <x v="3"/>
          </reference>
        </references>
      </pivotArea>
    </format>
    <format dxfId="2946">
      <pivotArea collapsedLevelsAreSubtotals="1" fieldPosition="0">
        <references count="2">
          <reference field="16" count="1" selected="0" defaultSubtotal="1">
            <x v="4"/>
          </reference>
          <reference field="20" count="1">
            <x v="1"/>
          </reference>
        </references>
      </pivotArea>
    </format>
    <format dxfId="2945">
      <pivotArea collapsedLevelsAreSubtotals="1" fieldPosition="0">
        <references count="2">
          <reference field="16" count="1" selected="0" defaultSubtotal="1">
            <x v="4"/>
          </reference>
          <reference field="20" count="1">
            <x v="2"/>
          </reference>
        </references>
      </pivotArea>
    </format>
    <format dxfId="2944">
      <pivotArea collapsedLevelsAreSubtotals="1" fieldPosition="0">
        <references count="2">
          <reference field="16" count="1" selected="0" defaultSubtotal="1">
            <x v="4"/>
          </reference>
          <reference field="20" count="1">
            <x v="3"/>
          </reference>
        </references>
      </pivotArea>
    </format>
    <format dxfId="2943">
      <pivotArea collapsedLevelsAreSubtotals="1" fieldPosition="0">
        <references count="2">
          <reference field="16" count="1" selected="0" defaultSubtotal="1">
            <x v="4"/>
          </reference>
          <reference field="20" count="1">
            <x v="5"/>
          </reference>
        </references>
      </pivotArea>
    </format>
    <format dxfId="2942">
      <pivotArea collapsedLevelsAreSubtotals="1" fieldPosition="0">
        <references count="2">
          <reference field="16" count="1" selected="0" defaultSubtotal="1">
            <x v="4"/>
          </reference>
          <reference field="20" count="1">
            <x v="6"/>
          </reference>
        </references>
      </pivotArea>
    </format>
    <format dxfId="2941">
      <pivotArea collapsedLevelsAreSubtotals="1" fieldPosition="0">
        <references count="2">
          <reference field="16" count="1" selected="0" defaultSubtotal="1">
            <x v="4"/>
          </reference>
          <reference field="20" count="1">
            <x v="8"/>
          </reference>
        </references>
      </pivotArea>
    </format>
    <format dxfId="2940">
      <pivotArea dataOnly="0" labelOnly="1" fieldPosition="0">
        <references count="1">
          <reference field="16" count="1" defaultSubtotal="1">
            <x v="4"/>
          </reference>
        </references>
      </pivotArea>
    </format>
    <format dxfId="2939">
      <pivotArea field="20" type="button" dataOnly="0" labelOnly="1" outline="0" axis="axisRow" fieldPosition="0"/>
    </format>
  </formats>
  <chartFormats count="8">
    <chartFormat chart="2" format="0" series="1">
      <pivotArea type="data" outline="0" fieldPosition="0">
        <references count="2">
          <reference field="4294967294" count="1" selected="0">
            <x v="0"/>
          </reference>
          <reference field="16" count="1" selected="0">
            <x v="0"/>
          </reference>
        </references>
      </pivotArea>
    </chartFormat>
    <chartFormat chart="2" format="1" series="1">
      <pivotArea type="data" outline="0" fieldPosition="0">
        <references count="2">
          <reference field="4294967294" count="1" selected="0">
            <x v="0"/>
          </reference>
          <reference field="16" count="1" selected="0">
            <x v="1"/>
          </reference>
        </references>
      </pivotArea>
    </chartFormat>
    <chartFormat chart="2" format="2" series="1">
      <pivotArea type="data" outline="0" fieldPosition="0">
        <references count="2">
          <reference field="4294967294" count="1" selected="0">
            <x v="0"/>
          </reference>
          <reference field="16" count="1" selected="0">
            <x v="2"/>
          </reference>
        </references>
      </pivotArea>
    </chartFormat>
    <chartFormat chart="2" format="3" series="1">
      <pivotArea type="data" outline="0" fieldPosition="0">
        <references count="2">
          <reference field="4294967294" count="1" selected="0">
            <x v="0"/>
          </reference>
          <reference field="16" count="1" selected="0">
            <x v="3"/>
          </reference>
        </references>
      </pivotArea>
    </chartFormat>
    <chartFormat chart="2" format="4" series="1">
      <pivotArea type="data" outline="0" fieldPosition="0">
        <references count="2">
          <reference field="4294967294" count="1" selected="0">
            <x v="0"/>
          </reference>
          <reference field="16" count="1" selected="0">
            <x v="4"/>
          </reference>
        </references>
      </pivotArea>
    </chartFormat>
    <chartFormat chart="2" format="5" series="1">
      <pivotArea type="data" outline="0" fieldPosition="0">
        <references count="2">
          <reference field="4294967294" count="1" selected="0">
            <x v="0"/>
          </reference>
          <reference field="16" count="1" selected="0">
            <x v="5"/>
          </reference>
        </references>
      </pivotArea>
    </chartFormat>
    <chartFormat chart="2" format="6" series="1">
      <pivotArea type="data" outline="0" fieldPosition="0">
        <references count="2">
          <reference field="4294967294" count="1" selected="0">
            <x v="0"/>
          </reference>
          <reference field="16" count="1" selected="0">
            <x v="6"/>
          </reference>
        </references>
      </pivotArea>
    </chartFormat>
    <chartFormat chart="2" format="7" series="1">
      <pivotArea type="data" outline="0" fieldPosition="0">
        <references count="2">
          <reference field="4294967294" count="1" selected="0">
            <x v="0"/>
          </reference>
          <reference field="16" count="1" selected="0">
            <x v="7"/>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drmartinez@saesas.gov.co" TargetMode="External"/><Relationship Id="rId21" Type="http://schemas.openxmlformats.org/officeDocument/2006/relationships/hyperlink" Target="mailto:jopena@saesas.gov.co" TargetMode="External"/><Relationship Id="rId42" Type="http://schemas.openxmlformats.org/officeDocument/2006/relationships/hyperlink" Target="mailto:drmartinez@saesas.gov.co" TargetMode="External"/><Relationship Id="rId47" Type="http://schemas.openxmlformats.org/officeDocument/2006/relationships/hyperlink" Target="mailto:ddavila@saesas.gov.co" TargetMode="External"/><Relationship Id="rId63" Type="http://schemas.openxmlformats.org/officeDocument/2006/relationships/hyperlink" Target="mailto:Iayala@saesas.gov.co" TargetMode="External"/><Relationship Id="rId68" Type="http://schemas.openxmlformats.org/officeDocument/2006/relationships/hyperlink" Target="mailto:drmartinez@saesas.gov.co" TargetMode="External"/><Relationship Id="rId2" Type="http://schemas.openxmlformats.org/officeDocument/2006/relationships/hyperlink" Target="mailto:opinzon@saesas.gov.co" TargetMode="External"/><Relationship Id="rId16" Type="http://schemas.openxmlformats.org/officeDocument/2006/relationships/hyperlink" Target="mailto:hgaitan@saesas.gov.co" TargetMode="External"/><Relationship Id="rId29" Type="http://schemas.openxmlformats.org/officeDocument/2006/relationships/hyperlink" Target="mailto:drmartinez@saesas.gov.co" TargetMode="External"/><Relationship Id="rId11" Type="http://schemas.openxmlformats.org/officeDocument/2006/relationships/hyperlink" Target="mailto:dcontreras@saesas.gov.co" TargetMode="External"/><Relationship Id="rId24" Type="http://schemas.openxmlformats.org/officeDocument/2006/relationships/hyperlink" Target="mailto:drmartinez@saesas.gov.co" TargetMode="External"/><Relationship Id="rId32" Type="http://schemas.openxmlformats.org/officeDocument/2006/relationships/hyperlink" Target="mailto:JALEMAN@SAESAS.GOV.CO" TargetMode="External"/><Relationship Id="rId37" Type="http://schemas.openxmlformats.org/officeDocument/2006/relationships/hyperlink" Target="mailto:dchavez@saesas.gov.co" TargetMode="External"/><Relationship Id="rId40" Type="http://schemas.openxmlformats.org/officeDocument/2006/relationships/hyperlink" Target="mailto:amperez@saesas.gov.co" TargetMode="External"/><Relationship Id="rId45" Type="http://schemas.openxmlformats.org/officeDocument/2006/relationships/hyperlink" Target="mailto:ddavila@saesas.gov.co" TargetMode="External"/><Relationship Id="rId53" Type="http://schemas.openxmlformats.org/officeDocument/2006/relationships/hyperlink" Target="mailto:jopena@saesas.gov.co" TargetMode="External"/><Relationship Id="rId58" Type="http://schemas.openxmlformats.org/officeDocument/2006/relationships/hyperlink" Target="mailto:amperez@saesas.gov.co" TargetMode="External"/><Relationship Id="rId66" Type="http://schemas.openxmlformats.org/officeDocument/2006/relationships/hyperlink" Target="mailto:mcserrano@saesas.gov.co" TargetMode="External"/><Relationship Id="rId74" Type="http://schemas.openxmlformats.org/officeDocument/2006/relationships/hyperlink" Target="mailto:dcontreras@saesas.gov.co" TargetMode="External"/><Relationship Id="rId5" Type="http://schemas.openxmlformats.org/officeDocument/2006/relationships/hyperlink" Target="mailto:jrivas@saesas.gov.co" TargetMode="External"/><Relationship Id="rId61" Type="http://schemas.openxmlformats.org/officeDocument/2006/relationships/hyperlink" Target="mailto:Iayala@saesas.gov.co" TargetMode="External"/><Relationship Id="rId19" Type="http://schemas.openxmlformats.org/officeDocument/2006/relationships/hyperlink" Target="mailto:opinzon@saesas.gov.co" TargetMode="External"/><Relationship Id="rId14" Type="http://schemas.openxmlformats.org/officeDocument/2006/relationships/hyperlink" Target="mailto:dcontreras@saesas.gov.co" TargetMode="External"/><Relationship Id="rId22" Type="http://schemas.openxmlformats.org/officeDocument/2006/relationships/hyperlink" Target="mailto:nirios@saesas.gov.co" TargetMode="External"/><Relationship Id="rId27" Type="http://schemas.openxmlformats.org/officeDocument/2006/relationships/hyperlink" Target="mailto:drmartinez@saesas.gov.co" TargetMode="External"/><Relationship Id="rId30" Type="http://schemas.openxmlformats.org/officeDocument/2006/relationships/hyperlink" Target="mailto:JALEMAN@SAESAS.GOV.CO" TargetMode="External"/><Relationship Id="rId35" Type="http://schemas.openxmlformats.org/officeDocument/2006/relationships/hyperlink" Target="mailto:mriveros@saesas.gov.co" TargetMode="External"/><Relationship Id="rId43" Type="http://schemas.openxmlformats.org/officeDocument/2006/relationships/hyperlink" Target="mailto:amperez@saesas.gov.co" TargetMode="External"/><Relationship Id="rId48" Type="http://schemas.openxmlformats.org/officeDocument/2006/relationships/hyperlink" Target="mailto:ddavila@saesas.gov.co" TargetMode="External"/><Relationship Id="rId56" Type="http://schemas.openxmlformats.org/officeDocument/2006/relationships/hyperlink" Target="mailto:hlopez@saesas.gov.co" TargetMode="External"/><Relationship Id="rId64" Type="http://schemas.openxmlformats.org/officeDocument/2006/relationships/hyperlink" Target="mailto:jarivera@saesas.gov.co" TargetMode="External"/><Relationship Id="rId69" Type="http://schemas.openxmlformats.org/officeDocument/2006/relationships/hyperlink" Target="mailto:drmartinez@saesas.gov.co" TargetMode="External"/><Relationship Id="rId8" Type="http://schemas.openxmlformats.org/officeDocument/2006/relationships/hyperlink" Target="mailto:ddavila@saesas.gov.co" TargetMode="External"/><Relationship Id="rId51" Type="http://schemas.openxmlformats.org/officeDocument/2006/relationships/hyperlink" Target="mailto:ddavila@saesas.gov.co" TargetMode="External"/><Relationship Id="rId72" Type="http://schemas.openxmlformats.org/officeDocument/2006/relationships/hyperlink" Target="mailto:amarin@saesas.gov.co" TargetMode="External"/><Relationship Id="rId3" Type="http://schemas.openxmlformats.org/officeDocument/2006/relationships/hyperlink" Target="mailto:ddavila@saesas.gov.co" TargetMode="External"/><Relationship Id="rId12" Type="http://schemas.openxmlformats.org/officeDocument/2006/relationships/hyperlink" Target="mailto:dcontreras@saesas.gov.co" TargetMode="External"/><Relationship Id="rId17" Type="http://schemas.openxmlformats.org/officeDocument/2006/relationships/hyperlink" Target="mailto:hgaitan@saesas.gov.co" TargetMode="External"/><Relationship Id="rId25" Type="http://schemas.openxmlformats.org/officeDocument/2006/relationships/hyperlink" Target="mailto:drmartinez@saesas.gov.co" TargetMode="External"/><Relationship Id="rId33" Type="http://schemas.openxmlformats.org/officeDocument/2006/relationships/hyperlink" Target="mailto:mriveros@saesas.gov.co" TargetMode="External"/><Relationship Id="rId38" Type="http://schemas.openxmlformats.org/officeDocument/2006/relationships/hyperlink" Target="mailto:dchavez@saesas.gov.co" TargetMode="External"/><Relationship Id="rId46" Type="http://schemas.openxmlformats.org/officeDocument/2006/relationships/hyperlink" Target="mailto:ddavila@saesas.gov.co" TargetMode="External"/><Relationship Id="rId59" Type="http://schemas.openxmlformats.org/officeDocument/2006/relationships/hyperlink" Target="mailto:amperez@saesas.gov.co" TargetMode="External"/><Relationship Id="rId67" Type="http://schemas.openxmlformats.org/officeDocument/2006/relationships/hyperlink" Target="mailto:opinzon@saesas.gov.co" TargetMode="External"/><Relationship Id="rId20" Type="http://schemas.openxmlformats.org/officeDocument/2006/relationships/hyperlink" Target="mailto:jopena@saesas.gov.co" TargetMode="External"/><Relationship Id="rId41" Type="http://schemas.openxmlformats.org/officeDocument/2006/relationships/hyperlink" Target="mailto:hgaitan@saesas.gov.co" TargetMode="External"/><Relationship Id="rId54" Type="http://schemas.openxmlformats.org/officeDocument/2006/relationships/hyperlink" Target="mailto:amperez@saesas.gov.co" TargetMode="External"/><Relationship Id="rId62" Type="http://schemas.openxmlformats.org/officeDocument/2006/relationships/hyperlink" Target="mailto:Iayala@saesas.gov.co" TargetMode="External"/><Relationship Id="rId70" Type="http://schemas.openxmlformats.org/officeDocument/2006/relationships/hyperlink" Target="mailto:drmartinez@saesas.gov.co" TargetMode="External"/><Relationship Id="rId75" Type="http://schemas.openxmlformats.org/officeDocument/2006/relationships/printerSettings" Target="../printerSettings/printerSettings1.bin"/><Relationship Id="rId1" Type="http://schemas.openxmlformats.org/officeDocument/2006/relationships/hyperlink" Target="mailto:dcontreras@saesas.gov.co" TargetMode="External"/><Relationship Id="rId6" Type="http://schemas.openxmlformats.org/officeDocument/2006/relationships/hyperlink" Target="mailto:ddavila@saesas.gov.co" TargetMode="External"/><Relationship Id="rId15" Type="http://schemas.openxmlformats.org/officeDocument/2006/relationships/hyperlink" Target="mailto:Iayala@saesas.gov.co" TargetMode="External"/><Relationship Id="rId23" Type="http://schemas.openxmlformats.org/officeDocument/2006/relationships/hyperlink" Target="mailto:nirios@saesas.gov.co" TargetMode="External"/><Relationship Id="rId28" Type="http://schemas.openxmlformats.org/officeDocument/2006/relationships/hyperlink" Target="mailto:drmartinez@saesas.gov.co" TargetMode="External"/><Relationship Id="rId36" Type="http://schemas.openxmlformats.org/officeDocument/2006/relationships/hyperlink" Target="mailto:mriveros@saesas.gov.co" TargetMode="External"/><Relationship Id="rId49" Type="http://schemas.openxmlformats.org/officeDocument/2006/relationships/hyperlink" Target="mailto:ddavila@saesas.gov.co" TargetMode="External"/><Relationship Id="rId57" Type="http://schemas.openxmlformats.org/officeDocument/2006/relationships/hyperlink" Target="mailto:amperez@saesas.gov.co" TargetMode="External"/><Relationship Id="rId10" Type="http://schemas.openxmlformats.org/officeDocument/2006/relationships/hyperlink" Target="mailto:dcontreras@saesas.gov.co" TargetMode="External"/><Relationship Id="rId31" Type="http://schemas.openxmlformats.org/officeDocument/2006/relationships/hyperlink" Target="mailto:JALEMAN@SAESAS.GOV.CO" TargetMode="External"/><Relationship Id="rId44" Type="http://schemas.openxmlformats.org/officeDocument/2006/relationships/hyperlink" Target="mailto:dchavez@saesas.gov.co" TargetMode="External"/><Relationship Id="rId52" Type="http://schemas.openxmlformats.org/officeDocument/2006/relationships/hyperlink" Target="mailto:ddavila@saesas.gov.co" TargetMode="External"/><Relationship Id="rId60" Type="http://schemas.openxmlformats.org/officeDocument/2006/relationships/hyperlink" Target="mailto:augomez@saesas.gov.co" TargetMode="External"/><Relationship Id="rId65" Type="http://schemas.openxmlformats.org/officeDocument/2006/relationships/hyperlink" Target="mailto:opinzon@saesas.gov.co" TargetMode="External"/><Relationship Id="rId73" Type="http://schemas.openxmlformats.org/officeDocument/2006/relationships/hyperlink" Target="mailto:dcontreras@saesas.gov.co" TargetMode="External"/><Relationship Id="rId4" Type="http://schemas.openxmlformats.org/officeDocument/2006/relationships/hyperlink" Target="mailto:ddavila@saesas.gov.co" TargetMode="External"/><Relationship Id="rId9" Type="http://schemas.openxmlformats.org/officeDocument/2006/relationships/hyperlink" Target="mailto:dcontreras@saesas.gov.co" TargetMode="External"/><Relationship Id="rId13" Type="http://schemas.openxmlformats.org/officeDocument/2006/relationships/hyperlink" Target="mailto:dcontreras@saesas.gov.co" TargetMode="External"/><Relationship Id="rId18" Type="http://schemas.openxmlformats.org/officeDocument/2006/relationships/hyperlink" Target="mailto:opinzon@saesas.gov.co" TargetMode="External"/><Relationship Id="rId39" Type="http://schemas.openxmlformats.org/officeDocument/2006/relationships/hyperlink" Target="mailto:amperez@saesas.gov.co" TargetMode="External"/><Relationship Id="rId34" Type="http://schemas.openxmlformats.org/officeDocument/2006/relationships/hyperlink" Target="mailto:mriveros@saesas.gov.co" TargetMode="External"/><Relationship Id="rId50" Type="http://schemas.openxmlformats.org/officeDocument/2006/relationships/hyperlink" Target="mailto:ddavila@saesas.gov.co" TargetMode="External"/><Relationship Id="rId55" Type="http://schemas.openxmlformats.org/officeDocument/2006/relationships/hyperlink" Target="mailto:ddavila@saesas.gov.co" TargetMode="External"/><Relationship Id="rId76" Type="http://schemas.openxmlformats.org/officeDocument/2006/relationships/drawing" Target="../drawings/drawing1.xml"/><Relationship Id="rId7" Type="http://schemas.openxmlformats.org/officeDocument/2006/relationships/hyperlink" Target="mailto:ddavila@saesas.gov.co" TargetMode="External"/><Relationship Id="rId71" Type="http://schemas.openxmlformats.org/officeDocument/2006/relationships/hyperlink" Target="mailto:msaldana@saesas.gov.co"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ivotTable" Target="../pivotTables/pivotTable3.xml"/></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ivotTable" Target="../pivotTables/pivotTable5.xml"/></Relationships>
</file>

<file path=xl/worksheets/_rels/sheet7.xml.rels><?xml version="1.0" encoding="UTF-8" standalone="yes"?>
<Relationships xmlns="http://schemas.openxmlformats.org/package/2006/relationships"><Relationship Id="rId13" Type="http://schemas.openxmlformats.org/officeDocument/2006/relationships/hyperlink" Target="mailto:elperez@saesas.gov.co" TargetMode="External"/><Relationship Id="rId18" Type="http://schemas.openxmlformats.org/officeDocument/2006/relationships/hyperlink" Target="mailto:jopena@saesas.gov.co" TargetMode="External"/><Relationship Id="rId26" Type="http://schemas.openxmlformats.org/officeDocument/2006/relationships/hyperlink" Target="mailto:dcontreras@saesas.gov.co" TargetMode="External"/><Relationship Id="rId39" Type="http://schemas.openxmlformats.org/officeDocument/2006/relationships/hyperlink" Target="mailto:ddavila@saesas.gov.co" TargetMode="External"/><Relationship Id="rId21" Type="http://schemas.openxmlformats.org/officeDocument/2006/relationships/hyperlink" Target="mailto:dcontreras@saesas.gov.co" TargetMode="External"/><Relationship Id="rId34" Type="http://schemas.openxmlformats.org/officeDocument/2006/relationships/hyperlink" Target="mailto:ddavila@saesas.gov.co" TargetMode="External"/><Relationship Id="rId42" Type="http://schemas.openxmlformats.org/officeDocument/2006/relationships/hyperlink" Target="mailto:ddavila@saesas.gov.co" TargetMode="External"/><Relationship Id="rId47" Type="http://schemas.openxmlformats.org/officeDocument/2006/relationships/hyperlink" Target="mailto:jarivera@saesas.gov.co" TargetMode="External"/><Relationship Id="rId50" Type="http://schemas.openxmlformats.org/officeDocument/2006/relationships/printerSettings" Target="../printerSettings/printerSettings2.bin"/><Relationship Id="rId7" Type="http://schemas.openxmlformats.org/officeDocument/2006/relationships/hyperlink" Target="mailto:drmartinez@saesas.gov.co" TargetMode="External"/><Relationship Id="rId2" Type="http://schemas.openxmlformats.org/officeDocument/2006/relationships/hyperlink" Target="mailto:nirios@saesas.gov.co" TargetMode="External"/><Relationship Id="rId16" Type="http://schemas.openxmlformats.org/officeDocument/2006/relationships/hyperlink" Target="mailto:Iayala@saesas.gov.co" TargetMode="External"/><Relationship Id="rId29" Type="http://schemas.openxmlformats.org/officeDocument/2006/relationships/hyperlink" Target="mailto:mriveros@saesas.gov.co" TargetMode="External"/><Relationship Id="rId11" Type="http://schemas.openxmlformats.org/officeDocument/2006/relationships/hyperlink" Target="mailto:dchavez@saesas.gov.co" TargetMode="External"/><Relationship Id="rId24" Type="http://schemas.openxmlformats.org/officeDocument/2006/relationships/hyperlink" Target="mailto:dcontreras@saesas.gov.co" TargetMode="External"/><Relationship Id="rId32" Type="http://schemas.openxmlformats.org/officeDocument/2006/relationships/hyperlink" Target="mailto:jrivas@saesas.gov.co" TargetMode="External"/><Relationship Id="rId37" Type="http://schemas.openxmlformats.org/officeDocument/2006/relationships/hyperlink" Target="mailto:ddavila@saesas.gov.co" TargetMode="External"/><Relationship Id="rId40" Type="http://schemas.openxmlformats.org/officeDocument/2006/relationships/hyperlink" Target="mailto:ddavila@saesas.gov.co" TargetMode="External"/><Relationship Id="rId45" Type="http://schemas.openxmlformats.org/officeDocument/2006/relationships/hyperlink" Target="mailto:JALEMAN@SAESAS.GOV.CO" TargetMode="External"/><Relationship Id="rId5" Type="http://schemas.openxmlformats.org/officeDocument/2006/relationships/hyperlink" Target="mailto:hgaitan@saesas.gov.co" TargetMode="External"/><Relationship Id="rId15" Type="http://schemas.openxmlformats.org/officeDocument/2006/relationships/hyperlink" Target="mailto:elperez@saesas.gov.co" TargetMode="External"/><Relationship Id="rId23" Type="http://schemas.openxmlformats.org/officeDocument/2006/relationships/hyperlink" Target="mailto:jopena@saesas.gov.co" TargetMode="External"/><Relationship Id="rId28" Type="http://schemas.openxmlformats.org/officeDocument/2006/relationships/hyperlink" Target="mailto:mriveros@saesas.gov.co" TargetMode="External"/><Relationship Id="rId36" Type="http://schemas.openxmlformats.org/officeDocument/2006/relationships/hyperlink" Target="mailto:ddavila@saesas.gov.co" TargetMode="External"/><Relationship Id="rId49" Type="http://schemas.openxmlformats.org/officeDocument/2006/relationships/hyperlink" Target="mailto:mcserrano@saesas.gov.co" TargetMode="External"/><Relationship Id="rId10" Type="http://schemas.openxmlformats.org/officeDocument/2006/relationships/hyperlink" Target="mailto:drmartinez@saesas.gov.co" TargetMode="External"/><Relationship Id="rId19" Type="http://schemas.openxmlformats.org/officeDocument/2006/relationships/hyperlink" Target="mailto:jopena@saesas.gov.co" TargetMode="External"/><Relationship Id="rId31" Type="http://schemas.openxmlformats.org/officeDocument/2006/relationships/hyperlink" Target="mailto:mriveros@saesas.gov.co" TargetMode="External"/><Relationship Id="rId44" Type="http://schemas.openxmlformats.org/officeDocument/2006/relationships/hyperlink" Target="mailto:JALEMAN@SAESAS.GOV.CO" TargetMode="External"/><Relationship Id="rId4" Type="http://schemas.openxmlformats.org/officeDocument/2006/relationships/hyperlink" Target="mailto:hgaitan@saesas.gov.co" TargetMode="External"/><Relationship Id="rId9" Type="http://schemas.openxmlformats.org/officeDocument/2006/relationships/hyperlink" Target="mailto:drmartinez@saesas.gov.co" TargetMode="External"/><Relationship Id="rId14" Type="http://schemas.openxmlformats.org/officeDocument/2006/relationships/hyperlink" Target="mailto:dchavez@saesas.gov.co" TargetMode="External"/><Relationship Id="rId22" Type="http://schemas.openxmlformats.org/officeDocument/2006/relationships/hyperlink" Target="mailto:dcontreras@saesas.gov.co" TargetMode="External"/><Relationship Id="rId27" Type="http://schemas.openxmlformats.org/officeDocument/2006/relationships/hyperlink" Target="mailto:dcontreras@saesas.gov.co" TargetMode="External"/><Relationship Id="rId30" Type="http://schemas.openxmlformats.org/officeDocument/2006/relationships/hyperlink" Target="mailto:mriveros@saesas.gov.co" TargetMode="External"/><Relationship Id="rId35" Type="http://schemas.openxmlformats.org/officeDocument/2006/relationships/hyperlink" Target="mailto:ddavila@saesas.gov.co" TargetMode="External"/><Relationship Id="rId43" Type="http://schemas.openxmlformats.org/officeDocument/2006/relationships/hyperlink" Target="mailto:opinzon@saesas.gov.co" TargetMode="External"/><Relationship Id="rId48" Type="http://schemas.openxmlformats.org/officeDocument/2006/relationships/hyperlink" Target="mailto:opinzon@saesas.gov.co" TargetMode="External"/><Relationship Id="rId8" Type="http://schemas.openxmlformats.org/officeDocument/2006/relationships/hyperlink" Target="mailto:drmartinez@saesas.gov.co" TargetMode="External"/><Relationship Id="rId3" Type="http://schemas.openxmlformats.org/officeDocument/2006/relationships/hyperlink" Target="mailto:opinzon@saesas.gov.co" TargetMode="External"/><Relationship Id="rId12" Type="http://schemas.openxmlformats.org/officeDocument/2006/relationships/hyperlink" Target="mailto:elperez@saesas.gov.co" TargetMode="External"/><Relationship Id="rId17" Type="http://schemas.openxmlformats.org/officeDocument/2006/relationships/hyperlink" Target="mailto:Iayala@saesas.gov.co" TargetMode="External"/><Relationship Id="rId25" Type="http://schemas.openxmlformats.org/officeDocument/2006/relationships/hyperlink" Target="mailto:ddavila@saesas.gov.co" TargetMode="External"/><Relationship Id="rId33" Type="http://schemas.openxmlformats.org/officeDocument/2006/relationships/hyperlink" Target="mailto:ddavila@saesas.gov.co" TargetMode="External"/><Relationship Id="rId38" Type="http://schemas.openxmlformats.org/officeDocument/2006/relationships/hyperlink" Target="mailto:ddavila@saesas.gov.co" TargetMode="External"/><Relationship Id="rId46" Type="http://schemas.openxmlformats.org/officeDocument/2006/relationships/hyperlink" Target="mailto:JALEMAN@SAESAS.GOV.CO" TargetMode="External"/><Relationship Id="rId20" Type="http://schemas.openxmlformats.org/officeDocument/2006/relationships/hyperlink" Target="mailto:Iayala@saesas.gov.co" TargetMode="External"/><Relationship Id="rId41" Type="http://schemas.openxmlformats.org/officeDocument/2006/relationships/hyperlink" Target="mailto:ddavila@saesas.gov.co" TargetMode="External"/><Relationship Id="rId1" Type="http://schemas.openxmlformats.org/officeDocument/2006/relationships/hyperlink" Target="mailto:nirios@saesas.gov.co" TargetMode="External"/><Relationship Id="rId6" Type="http://schemas.openxmlformats.org/officeDocument/2006/relationships/hyperlink" Target="mailto:hgaitan@saesas.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E70B7-9CA4-43EB-849D-2A791739425E}">
  <dimension ref="A1:AT229"/>
  <sheetViews>
    <sheetView tabSelected="1" topLeftCell="Q1" zoomScale="85" zoomScaleNormal="85" workbookViewId="0">
      <pane ySplit="3" topLeftCell="A133" activePane="bottomLeft" state="frozen"/>
      <selection activeCell="A3" sqref="A3"/>
      <selection pane="bottomLeft" activeCell="V135" sqref="V135"/>
    </sheetView>
  </sheetViews>
  <sheetFormatPr baseColWidth="10" defaultColWidth="11.42578125" defaultRowHeight="14.25" x14ac:dyDescent="0.25"/>
  <cols>
    <col min="1" max="1" width="21.28515625" style="29" customWidth="1"/>
    <col min="2" max="2" width="36.28515625" style="29" customWidth="1"/>
    <col min="3" max="3" width="58.140625" style="29" customWidth="1"/>
    <col min="4" max="4" width="12.85546875" style="27" customWidth="1"/>
    <col min="5" max="5" width="39.42578125" style="27" customWidth="1"/>
    <col min="6" max="6" width="39.85546875" style="27" customWidth="1"/>
    <col min="7" max="7" width="22.5703125" style="27" customWidth="1"/>
    <col min="8" max="8" width="14" style="27" customWidth="1"/>
    <col min="9" max="9" width="43.28515625" style="27" customWidth="1"/>
    <col min="10" max="10" width="25.28515625" style="27" customWidth="1"/>
    <col min="11" max="11" width="43.140625" style="27" customWidth="1"/>
    <col min="12" max="12" width="13.28515625" style="27" customWidth="1"/>
    <col min="13" max="13" width="41" style="27" customWidth="1"/>
    <col min="14" max="14" width="24.140625" style="30" customWidth="1"/>
    <col min="15" max="15" width="36.28515625" style="27" customWidth="1"/>
    <col min="16" max="16" width="112.5703125" style="27" customWidth="1"/>
    <col min="17" max="17" width="21.140625" style="27" customWidth="1"/>
    <col min="18" max="18" width="20.140625" style="29" customWidth="1"/>
    <col min="19" max="19" width="17" style="29" customWidth="1"/>
    <col min="20" max="20" width="18.7109375" style="29" customWidth="1"/>
    <col min="21" max="21" width="45.85546875" style="29" customWidth="1"/>
    <col min="22" max="22" width="17.28515625" style="29" customWidth="1"/>
    <col min="23" max="23" width="27.85546875" style="228" customWidth="1"/>
    <col min="24" max="24" width="30.140625" style="228" customWidth="1"/>
    <col min="25" max="25" width="21.85546875" style="29" customWidth="1"/>
    <col min="26" max="26" width="21.5703125" style="29" customWidth="1"/>
    <col min="27" max="27" width="45.7109375" style="29" customWidth="1"/>
    <col min="28" max="28" width="11.42578125" style="29" customWidth="1"/>
    <col min="29" max="29" width="37" style="29" customWidth="1"/>
    <col min="30" max="30" width="18" style="29" customWidth="1"/>
    <col min="31" max="31" width="29" style="29" customWidth="1"/>
    <col min="32" max="32" width="41.85546875" style="27" customWidth="1"/>
    <col min="33" max="33" width="21.7109375" style="27" customWidth="1"/>
    <col min="34" max="34" width="40.7109375" style="27" customWidth="1"/>
    <col min="35" max="38" width="22.85546875" style="27" customWidth="1"/>
    <col min="39" max="39" width="17" style="2" customWidth="1"/>
    <col min="40" max="40" width="18.85546875" style="50" customWidth="1"/>
    <col min="41" max="41" width="29.42578125" style="50" customWidth="1"/>
    <col min="42" max="42" width="22.85546875" style="27" customWidth="1"/>
    <col min="43" max="43" width="22.85546875" style="119" customWidth="1"/>
    <col min="44" max="44" width="11.42578125" style="2"/>
    <col min="45" max="45" width="13.42578125" style="2" customWidth="1"/>
    <col min="46" max="46" width="13.7109375" style="2" customWidth="1"/>
    <col min="47" max="16384" width="11.42578125" style="2"/>
  </cols>
  <sheetData>
    <row r="1" spans="1:46" ht="15" hidden="1" thickBot="1" x14ac:dyDescent="0.3"/>
    <row r="2" spans="1:46" s="1" customFormat="1" ht="15.75" hidden="1" thickBot="1" x14ac:dyDescent="0.3">
      <c r="A2" s="105"/>
      <c r="B2" s="105"/>
      <c r="C2" s="124" t="s">
        <v>0</v>
      </c>
      <c r="D2" s="125"/>
      <c r="E2" s="125"/>
      <c r="F2" s="125"/>
      <c r="G2" s="125"/>
      <c r="H2" s="125"/>
      <c r="I2" s="125"/>
      <c r="J2" s="125"/>
      <c r="K2" s="125"/>
      <c r="L2" s="125"/>
      <c r="M2" s="125"/>
      <c r="N2" s="125"/>
      <c r="O2" s="125"/>
      <c r="P2" s="125"/>
      <c r="Q2" s="125"/>
      <c r="R2" s="125"/>
      <c r="S2" s="125"/>
      <c r="T2" s="125"/>
      <c r="U2" s="125"/>
      <c r="V2" s="125"/>
      <c r="W2" s="125"/>
      <c r="X2" s="125"/>
      <c r="Y2" s="125"/>
      <c r="Z2" s="125"/>
      <c r="AA2" s="125"/>
      <c r="AB2" s="125"/>
      <c r="AC2" s="125"/>
      <c r="AD2" s="125"/>
      <c r="AE2" s="126"/>
      <c r="AF2" s="127" t="s">
        <v>1</v>
      </c>
      <c r="AG2" s="127"/>
      <c r="AH2" s="127"/>
      <c r="AI2" s="127"/>
      <c r="AJ2" s="29"/>
      <c r="AK2" s="29"/>
      <c r="AL2" s="29"/>
      <c r="AN2" s="51"/>
      <c r="AO2" s="51"/>
      <c r="AP2" s="29"/>
      <c r="AQ2" s="120"/>
    </row>
    <row r="3" spans="1:46" ht="120.75" thickBot="1" x14ac:dyDescent="0.3">
      <c r="A3" s="110" t="s">
        <v>466</v>
      </c>
      <c r="B3" s="111" t="s">
        <v>2</v>
      </c>
      <c r="C3" s="111" t="s">
        <v>3</v>
      </c>
      <c r="D3" s="111" t="s">
        <v>4</v>
      </c>
      <c r="E3" s="111" t="s">
        <v>5</v>
      </c>
      <c r="F3" s="111" t="s">
        <v>6</v>
      </c>
      <c r="G3" s="111" t="s">
        <v>7</v>
      </c>
      <c r="H3" s="111" t="s">
        <v>8</v>
      </c>
      <c r="I3" s="111" t="s">
        <v>9</v>
      </c>
      <c r="J3" s="111" t="s">
        <v>10</v>
      </c>
      <c r="K3" s="111" t="s">
        <v>11</v>
      </c>
      <c r="L3" s="111" t="s">
        <v>12</v>
      </c>
      <c r="M3" s="111" t="s">
        <v>13</v>
      </c>
      <c r="N3" s="112" t="s">
        <v>14</v>
      </c>
      <c r="O3" s="113" t="s">
        <v>15</v>
      </c>
      <c r="P3" s="113" t="s">
        <v>16</v>
      </c>
      <c r="Q3" s="113" t="s">
        <v>17</v>
      </c>
      <c r="R3" s="113" t="s">
        <v>18</v>
      </c>
      <c r="S3" s="113" t="s">
        <v>19</v>
      </c>
      <c r="T3" s="113" t="s">
        <v>20</v>
      </c>
      <c r="U3" s="113" t="s">
        <v>21</v>
      </c>
      <c r="V3" s="113" t="s">
        <v>22</v>
      </c>
      <c r="W3" s="229" t="s">
        <v>23</v>
      </c>
      <c r="X3" s="229" t="s">
        <v>24</v>
      </c>
      <c r="Y3" s="113" t="s">
        <v>25</v>
      </c>
      <c r="Z3" s="113" t="s">
        <v>26</v>
      </c>
      <c r="AA3" s="113" t="s">
        <v>27</v>
      </c>
      <c r="AB3" s="113" t="s">
        <v>28</v>
      </c>
      <c r="AC3" s="113" t="s">
        <v>29</v>
      </c>
      <c r="AD3" s="113" t="s">
        <v>30</v>
      </c>
      <c r="AE3" s="113" t="s">
        <v>31</v>
      </c>
      <c r="AF3" s="113" t="s">
        <v>32</v>
      </c>
      <c r="AG3" s="113" t="s">
        <v>33</v>
      </c>
      <c r="AH3" s="113" t="s">
        <v>34</v>
      </c>
      <c r="AI3" s="263" t="s">
        <v>35</v>
      </c>
      <c r="AJ3" s="275" t="s">
        <v>467</v>
      </c>
      <c r="AK3" s="114" t="s">
        <v>468</v>
      </c>
      <c r="AL3" s="114" t="s">
        <v>469</v>
      </c>
      <c r="AM3" s="115" t="s">
        <v>464</v>
      </c>
      <c r="AN3" s="116" t="s">
        <v>465</v>
      </c>
      <c r="AO3" s="116" t="s">
        <v>470</v>
      </c>
      <c r="AP3" s="117" t="s">
        <v>619</v>
      </c>
      <c r="AQ3" s="121" t="s">
        <v>642</v>
      </c>
    </row>
    <row r="4" spans="1:46" ht="85.5" x14ac:dyDescent="0.25">
      <c r="A4" s="36">
        <v>1</v>
      </c>
      <c r="B4" s="36" t="s">
        <v>36</v>
      </c>
      <c r="C4" s="36" t="s">
        <v>37</v>
      </c>
      <c r="D4" s="36" t="s">
        <v>38</v>
      </c>
      <c r="E4" s="36" t="s">
        <v>39</v>
      </c>
      <c r="F4" s="36" t="s">
        <v>40</v>
      </c>
      <c r="G4" s="36" t="s">
        <v>41</v>
      </c>
      <c r="H4" s="36" t="s">
        <v>42</v>
      </c>
      <c r="I4" s="36" t="s">
        <v>43</v>
      </c>
      <c r="J4" s="36" t="s">
        <v>43</v>
      </c>
      <c r="K4" s="36" t="s">
        <v>44</v>
      </c>
      <c r="L4" s="36">
        <v>100</v>
      </c>
      <c r="M4" s="36" t="s">
        <v>44</v>
      </c>
      <c r="N4" s="106">
        <v>584632810</v>
      </c>
      <c r="O4" s="5">
        <v>80111600</v>
      </c>
      <c r="P4" s="11" t="s">
        <v>45</v>
      </c>
      <c r="Q4" s="11" t="s">
        <v>46</v>
      </c>
      <c r="R4" s="11" t="s">
        <v>46</v>
      </c>
      <c r="S4" s="11">
        <v>338</v>
      </c>
      <c r="T4" s="5" t="s">
        <v>47</v>
      </c>
      <c r="U4" s="11" t="s">
        <v>48</v>
      </c>
      <c r="V4" s="11" t="s">
        <v>49</v>
      </c>
      <c r="W4" s="230">
        <v>158777190</v>
      </c>
      <c r="X4" s="230">
        <v>158777190</v>
      </c>
      <c r="Y4" s="11" t="s">
        <v>50</v>
      </c>
      <c r="Z4" s="5" t="s">
        <v>50</v>
      </c>
      <c r="AA4" s="11" t="s">
        <v>51</v>
      </c>
      <c r="AB4" s="5" t="s">
        <v>52</v>
      </c>
      <c r="AC4" s="11" t="s">
        <v>53</v>
      </c>
      <c r="AD4" s="11">
        <v>6017431444</v>
      </c>
      <c r="AE4" s="11" t="s">
        <v>54</v>
      </c>
      <c r="AF4" s="5" t="s">
        <v>50</v>
      </c>
      <c r="AG4" s="5" t="s">
        <v>50</v>
      </c>
      <c r="AH4" s="5" t="s">
        <v>50</v>
      </c>
      <c r="AI4" s="264" t="s">
        <v>55</v>
      </c>
      <c r="AJ4" s="276" t="s">
        <v>55</v>
      </c>
      <c r="AK4" s="107" t="s">
        <v>55</v>
      </c>
      <c r="AL4" s="107" t="s">
        <v>55</v>
      </c>
      <c r="AM4" s="108" t="s">
        <v>471</v>
      </c>
      <c r="AN4" s="109">
        <v>158777190</v>
      </c>
      <c r="AO4" s="109">
        <f>W4-AN4</f>
        <v>0</v>
      </c>
      <c r="AP4" s="107" t="s">
        <v>471</v>
      </c>
      <c r="AQ4" s="277">
        <f>VLOOKUP(AM4,[1]Hoja2!$B:$W,18,0)</f>
        <v>46022</v>
      </c>
      <c r="AS4" s="59"/>
      <c r="AT4" s="48" t="s">
        <v>516</v>
      </c>
    </row>
    <row r="5" spans="1:46" ht="71.25" x14ac:dyDescent="0.25">
      <c r="A5" s="32">
        <v>2</v>
      </c>
      <c r="B5" s="32" t="s">
        <v>36</v>
      </c>
      <c r="C5" s="32" t="s">
        <v>56</v>
      </c>
      <c r="D5" s="32" t="s">
        <v>38</v>
      </c>
      <c r="E5" s="32" t="s">
        <v>39</v>
      </c>
      <c r="F5" s="32" t="s">
        <v>40</v>
      </c>
      <c r="G5" s="32" t="s">
        <v>41</v>
      </c>
      <c r="H5" s="32" t="s">
        <v>42</v>
      </c>
      <c r="I5" s="32" t="s">
        <v>43</v>
      </c>
      <c r="J5" s="32" t="s">
        <v>43</v>
      </c>
      <c r="K5" s="32" t="s">
        <v>44</v>
      </c>
      <c r="L5" s="32">
        <v>100</v>
      </c>
      <c r="M5" s="32" t="s">
        <v>44</v>
      </c>
      <c r="N5" s="17">
        <v>584632810</v>
      </c>
      <c r="O5" s="5">
        <v>80111600</v>
      </c>
      <c r="P5" s="6" t="s">
        <v>57</v>
      </c>
      <c r="Q5" s="6" t="s">
        <v>46</v>
      </c>
      <c r="R5" s="6" t="s">
        <v>46</v>
      </c>
      <c r="S5" s="6">
        <v>338</v>
      </c>
      <c r="T5" s="7" t="s">
        <v>47</v>
      </c>
      <c r="U5" s="6" t="s">
        <v>48</v>
      </c>
      <c r="V5" s="6" t="s">
        <v>49</v>
      </c>
      <c r="W5" s="231">
        <v>256590000</v>
      </c>
      <c r="X5" s="231">
        <v>256590000</v>
      </c>
      <c r="Y5" s="6" t="s">
        <v>50</v>
      </c>
      <c r="Z5" s="7" t="s">
        <v>50</v>
      </c>
      <c r="AA5" s="6" t="s">
        <v>51</v>
      </c>
      <c r="AB5" s="7" t="s">
        <v>52</v>
      </c>
      <c r="AC5" s="6" t="s">
        <v>53</v>
      </c>
      <c r="AD5" s="6">
        <v>6017431444</v>
      </c>
      <c r="AE5" s="6" t="s">
        <v>54</v>
      </c>
      <c r="AF5" s="7" t="s">
        <v>50</v>
      </c>
      <c r="AG5" s="7" t="s">
        <v>50</v>
      </c>
      <c r="AH5" s="7" t="s">
        <v>50</v>
      </c>
      <c r="AI5" s="265" t="s">
        <v>55</v>
      </c>
      <c r="AJ5" s="278" t="s">
        <v>55</v>
      </c>
      <c r="AK5" s="47" t="s">
        <v>55</v>
      </c>
      <c r="AL5" s="47" t="s">
        <v>55</v>
      </c>
      <c r="AM5" s="48" t="s">
        <v>472</v>
      </c>
      <c r="AN5" s="71">
        <v>240909500</v>
      </c>
      <c r="AO5" s="71">
        <f t="shared" ref="AO5:AO68" si="0">W5-AN5</f>
        <v>15680500</v>
      </c>
      <c r="AP5" s="47" t="s">
        <v>472</v>
      </c>
      <c r="AQ5" s="279">
        <f>VLOOKUP(AM5,[1]Hoja2!$B:$W,18,0)</f>
        <v>46022</v>
      </c>
      <c r="AS5" s="73"/>
      <c r="AT5" s="48" t="s">
        <v>517</v>
      </c>
    </row>
    <row r="6" spans="1:46" ht="85.5" x14ac:dyDescent="0.25">
      <c r="A6" s="32">
        <v>3</v>
      </c>
      <c r="B6" s="32" t="s">
        <v>36</v>
      </c>
      <c r="C6" s="32" t="s">
        <v>37</v>
      </c>
      <c r="D6" s="32" t="s">
        <v>38</v>
      </c>
      <c r="E6" s="32" t="s">
        <v>39</v>
      </c>
      <c r="F6" s="32" t="s">
        <v>40</v>
      </c>
      <c r="G6" s="32" t="s">
        <v>41</v>
      </c>
      <c r="H6" s="32" t="s">
        <v>42</v>
      </c>
      <c r="I6" s="32" t="s">
        <v>43</v>
      </c>
      <c r="J6" s="32" t="s">
        <v>43</v>
      </c>
      <c r="K6" s="32" t="s">
        <v>44</v>
      </c>
      <c r="L6" s="32">
        <v>100</v>
      </c>
      <c r="M6" s="32" t="s">
        <v>44</v>
      </c>
      <c r="N6" s="17">
        <v>584632810</v>
      </c>
      <c r="O6" s="5">
        <v>80111600</v>
      </c>
      <c r="P6" s="6" t="s">
        <v>58</v>
      </c>
      <c r="Q6" s="6" t="s">
        <v>59</v>
      </c>
      <c r="R6" s="6" t="s">
        <v>59</v>
      </c>
      <c r="S6" s="6">
        <v>330</v>
      </c>
      <c r="T6" s="7" t="s">
        <v>47</v>
      </c>
      <c r="U6" s="6" t="s">
        <v>48</v>
      </c>
      <c r="V6" s="6" t="s">
        <v>49</v>
      </c>
      <c r="W6" s="231">
        <v>155019150</v>
      </c>
      <c r="X6" s="231">
        <v>155019150</v>
      </c>
      <c r="Y6" s="6" t="s">
        <v>50</v>
      </c>
      <c r="Z6" s="7" t="s">
        <v>50</v>
      </c>
      <c r="AA6" s="6" t="s">
        <v>51</v>
      </c>
      <c r="AB6" s="7" t="s">
        <v>52</v>
      </c>
      <c r="AC6" s="6" t="s">
        <v>53</v>
      </c>
      <c r="AD6" s="6">
        <v>6017431444</v>
      </c>
      <c r="AE6" s="6" t="s">
        <v>54</v>
      </c>
      <c r="AF6" s="7" t="s">
        <v>50</v>
      </c>
      <c r="AG6" s="7" t="s">
        <v>50</v>
      </c>
      <c r="AH6" s="7" t="s">
        <v>50</v>
      </c>
      <c r="AI6" s="265" t="s">
        <v>55</v>
      </c>
      <c r="AJ6" s="278" t="s">
        <v>55</v>
      </c>
      <c r="AK6" s="47" t="s">
        <v>55</v>
      </c>
      <c r="AL6" s="47" t="s">
        <v>55</v>
      </c>
      <c r="AM6" s="48" t="s">
        <v>473</v>
      </c>
      <c r="AN6" s="71">
        <v>155019150</v>
      </c>
      <c r="AO6" s="71">
        <f t="shared" si="0"/>
        <v>0</v>
      </c>
      <c r="AP6" s="47" t="s">
        <v>473</v>
      </c>
      <c r="AQ6" s="279">
        <f>VLOOKUP(AM6,[1]Hoja2!$B:$W,18,0)</f>
        <v>46022</v>
      </c>
      <c r="AS6" s="74"/>
      <c r="AT6" s="48" t="s">
        <v>518</v>
      </c>
    </row>
    <row r="7" spans="1:46" ht="85.5" x14ac:dyDescent="0.25">
      <c r="A7" s="32">
        <v>4</v>
      </c>
      <c r="B7" s="32" t="s">
        <v>36</v>
      </c>
      <c r="C7" s="32" t="s">
        <v>37</v>
      </c>
      <c r="D7" s="32" t="s">
        <v>38</v>
      </c>
      <c r="E7" s="32" t="s">
        <v>39</v>
      </c>
      <c r="F7" s="32" t="s">
        <v>40</v>
      </c>
      <c r="G7" s="32" t="s">
        <v>41</v>
      </c>
      <c r="H7" s="32" t="s">
        <v>42</v>
      </c>
      <c r="I7" s="32" t="s">
        <v>43</v>
      </c>
      <c r="J7" s="32" t="s">
        <v>43</v>
      </c>
      <c r="K7" s="32" t="s">
        <v>44</v>
      </c>
      <c r="L7" s="32">
        <v>100</v>
      </c>
      <c r="M7" s="32" t="s">
        <v>44</v>
      </c>
      <c r="N7" s="17">
        <v>584632810</v>
      </c>
      <c r="O7" s="5">
        <v>80111600</v>
      </c>
      <c r="P7" s="9" t="s">
        <v>60</v>
      </c>
      <c r="Q7" s="6" t="s">
        <v>59</v>
      </c>
      <c r="R7" s="6" t="s">
        <v>59</v>
      </c>
      <c r="S7" s="6">
        <v>180</v>
      </c>
      <c r="T7" s="7" t="s">
        <v>47</v>
      </c>
      <c r="U7" s="6" t="s">
        <v>48</v>
      </c>
      <c r="V7" s="6" t="s">
        <v>49</v>
      </c>
      <c r="W7" s="231">
        <v>54600000</v>
      </c>
      <c r="X7" s="231">
        <v>54600000</v>
      </c>
      <c r="Y7" s="6" t="s">
        <v>50</v>
      </c>
      <c r="Z7" s="7" t="s">
        <v>50</v>
      </c>
      <c r="AA7" s="6" t="s">
        <v>51</v>
      </c>
      <c r="AB7" s="7" t="s">
        <v>52</v>
      </c>
      <c r="AC7" s="6" t="s">
        <v>53</v>
      </c>
      <c r="AD7" s="6">
        <v>6017431444</v>
      </c>
      <c r="AE7" s="6" t="s">
        <v>54</v>
      </c>
      <c r="AF7" s="7" t="s">
        <v>50</v>
      </c>
      <c r="AG7" s="7" t="s">
        <v>50</v>
      </c>
      <c r="AH7" s="7" t="s">
        <v>50</v>
      </c>
      <c r="AI7" s="265" t="s">
        <v>55</v>
      </c>
      <c r="AJ7" s="278" t="s">
        <v>55</v>
      </c>
      <c r="AK7" s="47" t="s">
        <v>55</v>
      </c>
      <c r="AL7" s="47" t="s">
        <v>55</v>
      </c>
      <c r="AM7" s="48" t="s">
        <v>474</v>
      </c>
      <c r="AN7" s="75">
        <v>54600000</v>
      </c>
      <c r="AO7" s="71">
        <f t="shared" si="0"/>
        <v>0</v>
      </c>
      <c r="AP7" s="47" t="s">
        <v>474</v>
      </c>
      <c r="AQ7" s="279">
        <f>VLOOKUP(AM7,[1]Hoja2!$B:$W,18,0)</f>
        <v>45887</v>
      </c>
    </row>
    <row r="8" spans="1:46" s="41" customFormat="1" ht="85.5" x14ac:dyDescent="0.25">
      <c r="A8" s="32">
        <v>5</v>
      </c>
      <c r="B8" s="32" t="s">
        <v>36</v>
      </c>
      <c r="C8" s="32" t="s">
        <v>37</v>
      </c>
      <c r="D8" s="32" t="s">
        <v>38</v>
      </c>
      <c r="E8" s="32" t="s">
        <v>39</v>
      </c>
      <c r="F8" s="32" t="s">
        <v>173</v>
      </c>
      <c r="G8" s="32" t="s">
        <v>41</v>
      </c>
      <c r="H8" s="32" t="s">
        <v>42</v>
      </c>
      <c r="I8" s="32" t="s">
        <v>43</v>
      </c>
      <c r="J8" s="32" t="s">
        <v>43</v>
      </c>
      <c r="K8" s="32" t="s">
        <v>44</v>
      </c>
      <c r="L8" s="32">
        <v>100</v>
      </c>
      <c r="M8" s="32" t="s">
        <v>44</v>
      </c>
      <c r="N8" s="17">
        <v>1000000000</v>
      </c>
      <c r="O8" s="23">
        <v>80111600</v>
      </c>
      <c r="P8" s="13" t="s">
        <v>443</v>
      </c>
      <c r="Q8" s="18" t="s">
        <v>59</v>
      </c>
      <c r="R8" s="18" t="s">
        <v>59</v>
      </c>
      <c r="S8" s="18">
        <v>6</v>
      </c>
      <c r="T8" s="18" t="s">
        <v>70</v>
      </c>
      <c r="U8" s="18" t="s">
        <v>48</v>
      </c>
      <c r="V8" s="18" t="s">
        <v>49</v>
      </c>
      <c r="W8" s="232">
        <v>66000000</v>
      </c>
      <c r="X8" s="232">
        <v>66000000</v>
      </c>
      <c r="Y8" s="22" t="s">
        <v>50</v>
      </c>
      <c r="Z8" s="22" t="s">
        <v>50</v>
      </c>
      <c r="AA8" s="18" t="s">
        <v>51</v>
      </c>
      <c r="AB8" s="22" t="s">
        <v>52</v>
      </c>
      <c r="AC8" s="18" t="s">
        <v>53</v>
      </c>
      <c r="AD8" s="18">
        <v>6017431444</v>
      </c>
      <c r="AE8" s="18" t="s">
        <v>54</v>
      </c>
      <c r="AF8" s="22" t="s">
        <v>50</v>
      </c>
      <c r="AG8" s="22" t="s">
        <v>50</v>
      </c>
      <c r="AH8" s="22" t="s">
        <v>50</v>
      </c>
      <c r="AI8" s="266" t="s">
        <v>55</v>
      </c>
      <c r="AJ8" s="278" t="s">
        <v>55</v>
      </c>
      <c r="AK8" s="49" t="s">
        <v>55</v>
      </c>
      <c r="AL8" s="49" t="s">
        <v>55</v>
      </c>
      <c r="AM8" s="33" t="s">
        <v>481</v>
      </c>
      <c r="AN8" s="72">
        <v>54600000</v>
      </c>
      <c r="AO8" s="71">
        <f t="shared" si="0"/>
        <v>11400000</v>
      </c>
      <c r="AP8" s="49" t="s">
        <v>481</v>
      </c>
      <c r="AQ8" s="280">
        <f>VLOOKUP(AM8,[1]Hoja2!$B:$W,18,0)</f>
        <v>45904</v>
      </c>
    </row>
    <row r="9" spans="1:46" ht="85.5" x14ac:dyDescent="0.25">
      <c r="A9" s="32">
        <v>6</v>
      </c>
      <c r="B9" s="32" t="s">
        <v>36</v>
      </c>
      <c r="C9" s="32" t="s">
        <v>37</v>
      </c>
      <c r="D9" s="32" t="s">
        <v>38</v>
      </c>
      <c r="E9" s="32" t="s">
        <v>39</v>
      </c>
      <c r="F9" s="32" t="s">
        <v>40</v>
      </c>
      <c r="G9" s="32" t="s">
        <v>41</v>
      </c>
      <c r="H9" s="32" t="s">
        <v>42</v>
      </c>
      <c r="I9" s="32" t="s">
        <v>43</v>
      </c>
      <c r="J9" s="32" t="s">
        <v>43</v>
      </c>
      <c r="K9" s="32" t="s">
        <v>44</v>
      </c>
      <c r="L9" s="32">
        <v>100</v>
      </c>
      <c r="M9" s="32" t="s">
        <v>44</v>
      </c>
      <c r="N9" s="17">
        <v>584632810</v>
      </c>
      <c r="O9" s="6">
        <v>80111600</v>
      </c>
      <c r="P9" s="6" t="s">
        <v>442</v>
      </c>
      <c r="Q9" s="6" t="s">
        <v>59</v>
      </c>
      <c r="R9" s="6" t="s">
        <v>59</v>
      </c>
      <c r="S9" s="6">
        <v>3</v>
      </c>
      <c r="T9" s="18" t="s">
        <v>70</v>
      </c>
      <c r="U9" s="6" t="s">
        <v>48</v>
      </c>
      <c r="V9" s="6" t="s">
        <v>49</v>
      </c>
      <c r="W9" s="231">
        <v>46000000</v>
      </c>
      <c r="X9" s="231">
        <v>46000000</v>
      </c>
      <c r="Y9" s="6" t="s">
        <v>50</v>
      </c>
      <c r="Z9" s="7" t="s">
        <v>50</v>
      </c>
      <c r="AA9" s="6" t="s">
        <v>51</v>
      </c>
      <c r="AB9" s="7" t="s">
        <v>52</v>
      </c>
      <c r="AC9" s="6" t="s">
        <v>53</v>
      </c>
      <c r="AD9" s="6">
        <v>6017431444</v>
      </c>
      <c r="AE9" s="6" t="s">
        <v>54</v>
      </c>
      <c r="AF9" s="7" t="s">
        <v>50</v>
      </c>
      <c r="AG9" s="7" t="s">
        <v>50</v>
      </c>
      <c r="AH9" s="7" t="s">
        <v>50</v>
      </c>
      <c r="AI9" s="265" t="s">
        <v>55</v>
      </c>
      <c r="AJ9" s="278" t="s">
        <v>55</v>
      </c>
      <c r="AK9" s="47" t="s">
        <v>55</v>
      </c>
      <c r="AL9" s="47" t="s">
        <v>55</v>
      </c>
      <c r="AM9" s="48" t="s">
        <v>475</v>
      </c>
      <c r="AN9" s="71">
        <v>46000000</v>
      </c>
      <c r="AO9" s="71">
        <f t="shared" si="0"/>
        <v>0</v>
      </c>
      <c r="AP9" s="47" t="s">
        <v>475</v>
      </c>
      <c r="AQ9" s="279">
        <f>VLOOKUP(AM9,[1]Hoja2!$B:$W,18,0)</f>
        <v>45801</v>
      </c>
    </row>
    <row r="10" spans="1:46" ht="85.5" x14ac:dyDescent="0.25">
      <c r="A10" s="32">
        <v>7</v>
      </c>
      <c r="B10" s="32" t="s">
        <v>36</v>
      </c>
      <c r="C10" s="32" t="s">
        <v>37</v>
      </c>
      <c r="D10" s="32" t="s">
        <v>38</v>
      </c>
      <c r="E10" s="32" t="s">
        <v>39</v>
      </c>
      <c r="F10" s="32" t="s">
        <v>40</v>
      </c>
      <c r="G10" s="32" t="s">
        <v>41</v>
      </c>
      <c r="H10" s="32" t="s">
        <v>42</v>
      </c>
      <c r="I10" s="32" t="s">
        <v>43</v>
      </c>
      <c r="J10" s="32" t="s">
        <v>43</v>
      </c>
      <c r="K10" s="32" t="s">
        <v>44</v>
      </c>
      <c r="L10" s="32">
        <v>100</v>
      </c>
      <c r="M10" s="32" t="s">
        <v>44</v>
      </c>
      <c r="N10" s="17">
        <v>584632810</v>
      </c>
      <c r="O10" s="6">
        <v>80111600</v>
      </c>
      <c r="P10" s="6" t="s">
        <v>440</v>
      </c>
      <c r="Q10" s="6" t="s">
        <v>59</v>
      </c>
      <c r="R10" s="6" t="s">
        <v>59</v>
      </c>
      <c r="S10" s="6">
        <v>180</v>
      </c>
      <c r="T10" s="7" t="s">
        <v>47</v>
      </c>
      <c r="U10" s="6" t="s">
        <v>48</v>
      </c>
      <c r="V10" s="6" t="s">
        <v>49</v>
      </c>
      <c r="W10" s="231">
        <v>54600000</v>
      </c>
      <c r="X10" s="231">
        <v>54600000</v>
      </c>
      <c r="Y10" s="6" t="s">
        <v>50</v>
      </c>
      <c r="Z10" s="7" t="s">
        <v>50</v>
      </c>
      <c r="AA10" s="6" t="s">
        <v>51</v>
      </c>
      <c r="AB10" s="7" t="s">
        <v>52</v>
      </c>
      <c r="AC10" s="6" t="s">
        <v>53</v>
      </c>
      <c r="AD10" s="6">
        <v>6017431444</v>
      </c>
      <c r="AE10" s="6" t="s">
        <v>54</v>
      </c>
      <c r="AF10" s="7" t="s">
        <v>50</v>
      </c>
      <c r="AG10" s="7" t="s">
        <v>50</v>
      </c>
      <c r="AH10" s="7" t="s">
        <v>50</v>
      </c>
      <c r="AI10" s="265" t="s">
        <v>55</v>
      </c>
      <c r="AJ10" s="278" t="s">
        <v>55</v>
      </c>
      <c r="AK10" s="47" t="s">
        <v>55</v>
      </c>
      <c r="AL10" s="47" t="s">
        <v>55</v>
      </c>
      <c r="AM10" s="48" t="s">
        <v>482</v>
      </c>
      <c r="AN10" s="71">
        <v>54600000</v>
      </c>
      <c r="AO10" s="71">
        <f t="shared" si="0"/>
        <v>0</v>
      </c>
      <c r="AP10" s="47" t="s">
        <v>482</v>
      </c>
      <c r="AQ10" s="279">
        <f>VLOOKUP(AM10,[1]Hoja2!$B:$W,18,0)</f>
        <v>45904</v>
      </c>
    </row>
    <row r="11" spans="1:46" ht="85.5" x14ac:dyDescent="0.25">
      <c r="A11" s="32">
        <v>8</v>
      </c>
      <c r="B11" s="32" t="s">
        <v>36</v>
      </c>
      <c r="C11" s="32" t="s">
        <v>37</v>
      </c>
      <c r="D11" s="32" t="s">
        <v>62</v>
      </c>
      <c r="E11" s="32" t="s">
        <v>63</v>
      </c>
      <c r="F11" s="32" t="s">
        <v>40</v>
      </c>
      <c r="G11" s="32" t="s">
        <v>64</v>
      </c>
      <c r="H11" s="32" t="s">
        <v>65</v>
      </c>
      <c r="I11" s="32" t="s">
        <v>66</v>
      </c>
      <c r="J11" s="32" t="s">
        <v>66</v>
      </c>
      <c r="K11" s="32" t="s">
        <v>67</v>
      </c>
      <c r="L11" s="32">
        <v>520</v>
      </c>
      <c r="M11" s="32" t="s">
        <v>67</v>
      </c>
      <c r="N11" s="17">
        <v>300000000</v>
      </c>
      <c r="O11" s="5">
        <v>80111600</v>
      </c>
      <c r="P11" s="7" t="s">
        <v>68</v>
      </c>
      <c r="Q11" s="5" t="s">
        <v>59</v>
      </c>
      <c r="R11" s="7" t="s">
        <v>69</v>
      </c>
      <c r="S11" s="7">
        <v>10</v>
      </c>
      <c r="T11" s="7" t="s">
        <v>70</v>
      </c>
      <c r="U11" s="6" t="s">
        <v>48</v>
      </c>
      <c r="V11" s="7" t="s">
        <v>71</v>
      </c>
      <c r="W11" s="233">
        <v>123233333</v>
      </c>
      <c r="X11" s="233">
        <v>123233333</v>
      </c>
      <c r="Y11" s="7" t="s">
        <v>50</v>
      </c>
      <c r="Z11" s="7" t="s">
        <v>50</v>
      </c>
      <c r="AA11" s="6" t="s">
        <v>67</v>
      </c>
      <c r="AB11" s="7" t="s">
        <v>52</v>
      </c>
      <c r="AC11" s="7" t="s">
        <v>72</v>
      </c>
      <c r="AD11" s="7">
        <v>3185325420</v>
      </c>
      <c r="AE11" s="10" t="s">
        <v>73</v>
      </c>
      <c r="AF11" s="7" t="s">
        <v>50</v>
      </c>
      <c r="AG11" s="7" t="s">
        <v>50</v>
      </c>
      <c r="AH11" s="7" t="s">
        <v>50</v>
      </c>
      <c r="AI11" s="265" t="s">
        <v>55</v>
      </c>
      <c r="AJ11" s="278" t="s">
        <v>55</v>
      </c>
      <c r="AK11" s="47" t="s">
        <v>50</v>
      </c>
      <c r="AL11" s="49" t="s">
        <v>50</v>
      </c>
      <c r="AM11" s="48"/>
      <c r="AN11" s="71"/>
      <c r="AO11" s="71">
        <f t="shared" si="0"/>
        <v>123233333</v>
      </c>
      <c r="AP11" s="49" t="s">
        <v>50</v>
      </c>
      <c r="AQ11" s="280"/>
    </row>
    <row r="12" spans="1:46" ht="85.5" x14ac:dyDescent="0.25">
      <c r="A12" s="32">
        <v>9</v>
      </c>
      <c r="B12" s="32" t="s">
        <v>36</v>
      </c>
      <c r="C12" s="32" t="s">
        <v>37</v>
      </c>
      <c r="D12" s="32" t="s">
        <v>74</v>
      </c>
      <c r="E12" s="32" t="s">
        <v>75</v>
      </c>
      <c r="F12" s="32" t="s">
        <v>40</v>
      </c>
      <c r="G12" s="32" t="s">
        <v>41</v>
      </c>
      <c r="H12" s="32" t="s">
        <v>76</v>
      </c>
      <c r="I12" s="32" t="s">
        <v>77</v>
      </c>
      <c r="J12" s="32" t="s">
        <v>77</v>
      </c>
      <c r="K12" s="32" t="s">
        <v>67</v>
      </c>
      <c r="L12" s="32">
        <v>520</v>
      </c>
      <c r="M12" s="32" t="s">
        <v>67</v>
      </c>
      <c r="N12" s="17">
        <v>100000000</v>
      </c>
      <c r="O12" s="5">
        <v>80111600</v>
      </c>
      <c r="P12" s="11" t="s">
        <v>78</v>
      </c>
      <c r="Q12" s="5" t="s">
        <v>79</v>
      </c>
      <c r="R12" s="7" t="s">
        <v>80</v>
      </c>
      <c r="S12" s="7">
        <v>8</v>
      </c>
      <c r="T12" s="7" t="s">
        <v>70</v>
      </c>
      <c r="U12" s="6" t="s">
        <v>48</v>
      </c>
      <c r="V12" s="7" t="s">
        <v>71</v>
      </c>
      <c r="W12" s="233">
        <v>72000000</v>
      </c>
      <c r="X12" s="233">
        <v>72000000</v>
      </c>
      <c r="Y12" s="7" t="s">
        <v>50</v>
      </c>
      <c r="Z12" s="7" t="s">
        <v>50</v>
      </c>
      <c r="AA12" s="6" t="s">
        <v>67</v>
      </c>
      <c r="AB12" s="7" t="s">
        <v>52</v>
      </c>
      <c r="AC12" s="7" t="s">
        <v>72</v>
      </c>
      <c r="AD12" s="7">
        <v>3185325420</v>
      </c>
      <c r="AE12" s="10" t="s">
        <v>73</v>
      </c>
      <c r="AF12" s="7" t="s">
        <v>50</v>
      </c>
      <c r="AG12" s="7" t="s">
        <v>50</v>
      </c>
      <c r="AH12" s="7" t="s">
        <v>50</v>
      </c>
      <c r="AI12" s="265" t="s">
        <v>55</v>
      </c>
      <c r="AJ12" s="278" t="s">
        <v>55</v>
      </c>
      <c r="AK12" s="47" t="s">
        <v>50</v>
      </c>
      <c r="AL12" s="49" t="s">
        <v>50</v>
      </c>
      <c r="AM12" s="48"/>
      <c r="AN12" s="71"/>
      <c r="AO12" s="71">
        <f t="shared" si="0"/>
        <v>72000000</v>
      </c>
      <c r="AP12" s="49" t="s">
        <v>50</v>
      </c>
      <c r="AQ12" s="280"/>
    </row>
    <row r="13" spans="1:46" ht="71.25" x14ac:dyDescent="0.25">
      <c r="A13" s="32">
        <v>10</v>
      </c>
      <c r="B13" s="32" t="s">
        <v>81</v>
      </c>
      <c r="C13" s="32" t="s">
        <v>82</v>
      </c>
      <c r="D13" s="32" t="s">
        <v>83</v>
      </c>
      <c r="E13" s="32" t="s">
        <v>84</v>
      </c>
      <c r="F13" s="32" t="s">
        <v>40</v>
      </c>
      <c r="G13" s="32" t="s">
        <v>41</v>
      </c>
      <c r="H13" s="32" t="s">
        <v>42</v>
      </c>
      <c r="I13" s="32" t="s">
        <v>43</v>
      </c>
      <c r="J13" s="32" t="s">
        <v>43</v>
      </c>
      <c r="K13" s="32" t="s">
        <v>85</v>
      </c>
      <c r="L13" s="32">
        <v>410</v>
      </c>
      <c r="M13" s="32" t="s">
        <v>85</v>
      </c>
      <c r="N13" s="17">
        <v>682400000</v>
      </c>
      <c r="O13" s="5">
        <v>80111600</v>
      </c>
      <c r="P13" s="11" t="s">
        <v>86</v>
      </c>
      <c r="Q13" s="64" t="s">
        <v>87</v>
      </c>
      <c r="R13" s="59" t="s">
        <v>79</v>
      </c>
      <c r="S13" s="6">
        <v>9</v>
      </c>
      <c r="T13" s="6" t="s">
        <v>70</v>
      </c>
      <c r="U13" s="6" t="s">
        <v>48</v>
      </c>
      <c r="V13" s="7" t="s">
        <v>49</v>
      </c>
      <c r="W13" s="231">
        <v>115720000</v>
      </c>
      <c r="X13" s="231">
        <v>115720000</v>
      </c>
      <c r="Y13" s="6" t="s">
        <v>50</v>
      </c>
      <c r="Z13" s="7" t="s">
        <v>50</v>
      </c>
      <c r="AA13" s="6" t="s">
        <v>88</v>
      </c>
      <c r="AB13" s="7" t="s">
        <v>52</v>
      </c>
      <c r="AC13" s="59" t="s">
        <v>350</v>
      </c>
      <c r="AD13" s="6">
        <v>7431444</v>
      </c>
      <c r="AE13" s="76" t="s">
        <v>351</v>
      </c>
      <c r="AF13" s="6" t="s">
        <v>50</v>
      </c>
      <c r="AG13" s="7" t="s">
        <v>50</v>
      </c>
      <c r="AH13" s="7" t="s">
        <v>50</v>
      </c>
      <c r="AI13" s="265" t="s">
        <v>55</v>
      </c>
      <c r="AJ13" s="278" t="s">
        <v>55</v>
      </c>
      <c r="AK13" s="47" t="s">
        <v>55</v>
      </c>
      <c r="AL13" s="49" t="s">
        <v>50</v>
      </c>
      <c r="AM13" s="48"/>
      <c r="AN13" s="71"/>
      <c r="AO13" s="71">
        <f t="shared" si="0"/>
        <v>115720000</v>
      </c>
      <c r="AP13" s="49" t="s">
        <v>50</v>
      </c>
      <c r="AQ13" s="280"/>
    </row>
    <row r="14" spans="1:46" ht="71.25" x14ac:dyDescent="0.25">
      <c r="A14" s="32">
        <v>11</v>
      </c>
      <c r="B14" s="32" t="s">
        <v>81</v>
      </c>
      <c r="C14" s="32" t="s">
        <v>82</v>
      </c>
      <c r="D14" s="32" t="s">
        <v>83</v>
      </c>
      <c r="E14" s="32" t="s">
        <v>84</v>
      </c>
      <c r="F14" s="32" t="s">
        <v>40</v>
      </c>
      <c r="G14" s="32" t="s">
        <v>41</v>
      </c>
      <c r="H14" s="32" t="s">
        <v>42</v>
      </c>
      <c r="I14" s="32" t="s">
        <v>43</v>
      </c>
      <c r="J14" s="32" t="s">
        <v>43</v>
      </c>
      <c r="K14" s="32" t="s">
        <v>85</v>
      </c>
      <c r="L14" s="32">
        <v>410</v>
      </c>
      <c r="M14" s="32" t="s">
        <v>85</v>
      </c>
      <c r="N14" s="17">
        <v>682400000</v>
      </c>
      <c r="O14" s="5">
        <v>80111600</v>
      </c>
      <c r="P14" s="11" t="s">
        <v>89</v>
      </c>
      <c r="Q14" s="64" t="s">
        <v>87</v>
      </c>
      <c r="R14" s="59" t="s">
        <v>79</v>
      </c>
      <c r="S14" s="6">
        <v>9</v>
      </c>
      <c r="T14" s="6" t="s">
        <v>70</v>
      </c>
      <c r="U14" s="6" t="s">
        <v>48</v>
      </c>
      <c r="V14" s="7" t="s">
        <v>49</v>
      </c>
      <c r="W14" s="231">
        <v>100000000</v>
      </c>
      <c r="X14" s="231">
        <v>100000000</v>
      </c>
      <c r="Y14" s="6" t="s">
        <v>50</v>
      </c>
      <c r="Z14" s="7" t="s">
        <v>50</v>
      </c>
      <c r="AA14" s="6" t="s">
        <v>88</v>
      </c>
      <c r="AB14" s="7" t="s">
        <v>52</v>
      </c>
      <c r="AC14" s="59" t="s">
        <v>350</v>
      </c>
      <c r="AD14" s="6">
        <v>7431444</v>
      </c>
      <c r="AE14" s="59" t="s">
        <v>351</v>
      </c>
      <c r="AF14" s="6" t="s">
        <v>50</v>
      </c>
      <c r="AG14" s="7" t="s">
        <v>50</v>
      </c>
      <c r="AH14" s="7" t="s">
        <v>50</v>
      </c>
      <c r="AI14" s="265" t="s">
        <v>55</v>
      </c>
      <c r="AJ14" s="278" t="s">
        <v>55</v>
      </c>
      <c r="AK14" s="47" t="s">
        <v>55</v>
      </c>
      <c r="AL14" s="49" t="s">
        <v>50</v>
      </c>
      <c r="AM14" s="48" t="s">
        <v>603</v>
      </c>
      <c r="AN14" s="71"/>
      <c r="AO14" s="71">
        <f t="shared" si="0"/>
        <v>100000000</v>
      </c>
      <c r="AP14" s="49" t="s">
        <v>50</v>
      </c>
      <c r="AQ14" s="280"/>
    </row>
    <row r="15" spans="1:46" ht="85.5" x14ac:dyDescent="0.25">
      <c r="A15" s="32">
        <v>12</v>
      </c>
      <c r="B15" s="32" t="s">
        <v>36</v>
      </c>
      <c r="C15" s="32" t="s">
        <v>37</v>
      </c>
      <c r="D15" s="32" t="s">
        <v>83</v>
      </c>
      <c r="E15" s="32" t="s">
        <v>84</v>
      </c>
      <c r="F15" s="32" t="s">
        <v>40</v>
      </c>
      <c r="G15" s="32" t="s">
        <v>41</v>
      </c>
      <c r="H15" s="32" t="s">
        <v>42</v>
      </c>
      <c r="I15" s="32" t="s">
        <v>43</v>
      </c>
      <c r="J15" s="32" t="s">
        <v>43</v>
      </c>
      <c r="K15" s="32" t="s">
        <v>85</v>
      </c>
      <c r="L15" s="32">
        <v>410</v>
      </c>
      <c r="M15" s="32" t="s">
        <v>85</v>
      </c>
      <c r="N15" s="17">
        <v>682400000</v>
      </c>
      <c r="O15" s="5">
        <v>80111600</v>
      </c>
      <c r="P15" s="11" t="s">
        <v>90</v>
      </c>
      <c r="Q15" s="64" t="s">
        <v>87</v>
      </c>
      <c r="R15" s="59" t="s">
        <v>79</v>
      </c>
      <c r="S15" s="6">
        <v>9</v>
      </c>
      <c r="T15" s="6" t="s">
        <v>70</v>
      </c>
      <c r="U15" s="6" t="s">
        <v>48</v>
      </c>
      <c r="V15" s="7" t="s">
        <v>49</v>
      </c>
      <c r="W15" s="231">
        <v>94680000</v>
      </c>
      <c r="X15" s="231">
        <v>94680000</v>
      </c>
      <c r="Y15" s="6" t="s">
        <v>50</v>
      </c>
      <c r="Z15" s="7" t="s">
        <v>50</v>
      </c>
      <c r="AA15" s="6" t="s">
        <v>88</v>
      </c>
      <c r="AB15" s="7" t="s">
        <v>52</v>
      </c>
      <c r="AC15" s="59" t="s">
        <v>350</v>
      </c>
      <c r="AD15" s="6">
        <v>7431444</v>
      </c>
      <c r="AE15" s="59" t="s">
        <v>351</v>
      </c>
      <c r="AF15" s="6" t="s">
        <v>50</v>
      </c>
      <c r="AG15" s="7" t="s">
        <v>50</v>
      </c>
      <c r="AH15" s="7" t="s">
        <v>50</v>
      </c>
      <c r="AI15" s="265" t="s">
        <v>55</v>
      </c>
      <c r="AJ15" s="278" t="s">
        <v>55</v>
      </c>
      <c r="AK15" s="47" t="s">
        <v>55</v>
      </c>
      <c r="AL15" s="49" t="s">
        <v>50</v>
      </c>
      <c r="AM15" s="48"/>
      <c r="AN15" s="71"/>
      <c r="AO15" s="71">
        <f t="shared" si="0"/>
        <v>94680000</v>
      </c>
      <c r="AP15" s="49" t="s">
        <v>50</v>
      </c>
      <c r="AQ15" s="280"/>
    </row>
    <row r="16" spans="1:46" ht="85.5" x14ac:dyDescent="0.25">
      <c r="A16" s="32">
        <v>13</v>
      </c>
      <c r="B16" s="32" t="s">
        <v>36</v>
      </c>
      <c r="C16" s="32" t="s">
        <v>37</v>
      </c>
      <c r="D16" s="32" t="s">
        <v>83</v>
      </c>
      <c r="E16" s="32" t="s">
        <v>84</v>
      </c>
      <c r="F16" s="32" t="s">
        <v>40</v>
      </c>
      <c r="G16" s="32" t="s">
        <v>41</v>
      </c>
      <c r="H16" s="32" t="s">
        <v>42</v>
      </c>
      <c r="I16" s="32" t="s">
        <v>43</v>
      </c>
      <c r="J16" s="32" t="s">
        <v>43</v>
      </c>
      <c r="K16" s="32" t="s">
        <v>85</v>
      </c>
      <c r="L16" s="32">
        <v>410</v>
      </c>
      <c r="M16" s="32" t="s">
        <v>85</v>
      </c>
      <c r="N16" s="17">
        <v>682400000</v>
      </c>
      <c r="O16" s="5">
        <v>80111600</v>
      </c>
      <c r="P16" s="11" t="s">
        <v>91</v>
      </c>
      <c r="Q16" s="64" t="s">
        <v>87</v>
      </c>
      <c r="R16" s="59" t="s">
        <v>79</v>
      </c>
      <c r="S16" s="6">
        <v>9</v>
      </c>
      <c r="T16" s="6" t="s">
        <v>70</v>
      </c>
      <c r="U16" s="6" t="s">
        <v>48</v>
      </c>
      <c r="V16" s="7" t="s">
        <v>49</v>
      </c>
      <c r="W16" s="231">
        <v>100000000</v>
      </c>
      <c r="X16" s="231">
        <v>100000000</v>
      </c>
      <c r="Y16" s="6" t="s">
        <v>50</v>
      </c>
      <c r="Z16" s="7" t="s">
        <v>50</v>
      </c>
      <c r="AA16" s="6" t="s">
        <v>88</v>
      </c>
      <c r="AB16" s="7" t="s">
        <v>52</v>
      </c>
      <c r="AC16" s="59" t="s">
        <v>350</v>
      </c>
      <c r="AD16" s="6">
        <v>7431444</v>
      </c>
      <c r="AE16" s="59" t="s">
        <v>351</v>
      </c>
      <c r="AF16" s="6" t="s">
        <v>50</v>
      </c>
      <c r="AG16" s="7" t="s">
        <v>50</v>
      </c>
      <c r="AH16" s="7" t="s">
        <v>50</v>
      </c>
      <c r="AI16" s="265" t="s">
        <v>55</v>
      </c>
      <c r="AJ16" s="278" t="s">
        <v>55</v>
      </c>
      <c r="AK16" s="47" t="s">
        <v>55</v>
      </c>
      <c r="AL16" s="49" t="s">
        <v>50</v>
      </c>
      <c r="AM16" s="48" t="s">
        <v>602</v>
      </c>
      <c r="AN16" s="71"/>
      <c r="AO16" s="71">
        <f t="shared" si="0"/>
        <v>100000000</v>
      </c>
      <c r="AP16" s="49" t="s">
        <v>50</v>
      </c>
      <c r="AQ16" s="280"/>
    </row>
    <row r="17" spans="1:43" ht="71.25" x14ac:dyDescent="0.25">
      <c r="A17" s="32">
        <v>14</v>
      </c>
      <c r="B17" s="32" t="s">
        <v>81</v>
      </c>
      <c r="C17" s="32" t="s">
        <v>82</v>
      </c>
      <c r="D17" s="32" t="s">
        <v>83</v>
      </c>
      <c r="E17" s="32" t="s">
        <v>84</v>
      </c>
      <c r="F17" s="32" t="s">
        <v>40</v>
      </c>
      <c r="G17" s="32" t="s">
        <v>41</v>
      </c>
      <c r="H17" s="32" t="s">
        <v>42</v>
      </c>
      <c r="I17" s="32" t="s">
        <v>43</v>
      </c>
      <c r="J17" s="32" t="s">
        <v>43</v>
      </c>
      <c r="K17" s="32" t="s">
        <v>85</v>
      </c>
      <c r="L17" s="32">
        <v>410</v>
      </c>
      <c r="M17" s="32" t="s">
        <v>85</v>
      </c>
      <c r="N17" s="17">
        <v>682400000</v>
      </c>
      <c r="O17" s="5">
        <v>80111600</v>
      </c>
      <c r="P17" s="11" t="s">
        <v>485</v>
      </c>
      <c r="Q17" s="64" t="s">
        <v>87</v>
      </c>
      <c r="R17" s="59" t="s">
        <v>79</v>
      </c>
      <c r="S17" s="6">
        <v>9</v>
      </c>
      <c r="T17" s="6" t="s">
        <v>70</v>
      </c>
      <c r="U17" s="6" t="s">
        <v>48</v>
      </c>
      <c r="V17" s="11" t="s">
        <v>71</v>
      </c>
      <c r="W17" s="231">
        <v>94680000</v>
      </c>
      <c r="X17" s="231">
        <v>94680000</v>
      </c>
      <c r="Y17" s="6" t="s">
        <v>50</v>
      </c>
      <c r="Z17" s="7" t="s">
        <v>50</v>
      </c>
      <c r="AA17" s="6" t="s">
        <v>88</v>
      </c>
      <c r="AB17" s="7" t="s">
        <v>52</v>
      </c>
      <c r="AC17" s="59" t="s">
        <v>350</v>
      </c>
      <c r="AD17" s="6">
        <v>7431444</v>
      </c>
      <c r="AE17" s="59" t="s">
        <v>351</v>
      </c>
      <c r="AF17" s="6" t="s">
        <v>50</v>
      </c>
      <c r="AG17" s="7" t="s">
        <v>50</v>
      </c>
      <c r="AH17" s="7" t="s">
        <v>50</v>
      </c>
      <c r="AI17" s="265" t="s">
        <v>55</v>
      </c>
      <c r="AJ17" s="278" t="s">
        <v>55</v>
      </c>
      <c r="AK17" s="47" t="s">
        <v>55</v>
      </c>
      <c r="AL17" s="49" t="s">
        <v>50</v>
      </c>
      <c r="AM17" s="48" t="s">
        <v>604</v>
      </c>
      <c r="AN17" s="71"/>
      <c r="AO17" s="71">
        <f t="shared" si="0"/>
        <v>94680000</v>
      </c>
      <c r="AP17" s="49" t="s">
        <v>50</v>
      </c>
      <c r="AQ17" s="280"/>
    </row>
    <row r="18" spans="1:43" ht="71.25" x14ac:dyDescent="0.25">
      <c r="A18" s="32">
        <v>15</v>
      </c>
      <c r="B18" s="32" t="s">
        <v>81</v>
      </c>
      <c r="C18" s="32" t="s">
        <v>82</v>
      </c>
      <c r="D18" s="32" t="s">
        <v>83</v>
      </c>
      <c r="E18" s="32" t="s">
        <v>84</v>
      </c>
      <c r="F18" s="32" t="s">
        <v>40</v>
      </c>
      <c r="G18" s="32" t="s">
        <v>41</v>
      </c>
      <c r="H18" s="32" t="s">
        <v>42</v>
      </c>
      <c r="I18" s="32" t="s">
        <v>43</v>
      </c>
      <c r="J18" s="32" t="s">
        <v>43</v>
      </c>
      <c r="K18" s="32" t="s">
        <v>85</v>
      </c>
      <c r="L18" s="32">
        <v>410</v>
      </c>
      <c r="M18" s="32" t="s">
        <v>85</v>
      </c>
      <c r="N18" s="17">
        <v>682400000</v>
      </c>
      <c r="O18" s="5">
        <v>80111600</v>
      </c>
      <c r="P18" s="11" t="s">
        <v>92</v>
      </c>
      <c r="Q18" s="58" t="s">
        <v>87</v>
      </c>
      <c r="R18" s="58" t="s">
        <v>79</v>
      </c>
      <c r="S18" s="6">
        <v>9</v>
      </c>
      <c r="T18" s="6" t="s">
        <v>70</v>
      </c>
      <c r="U18" s="6" t="s">
        <v>48</v>
      </c>
      <c r="V18" s="11" t="s">
        <v>71</v>
      </c>
      <c r="W18" s="231">
        <v>115720000</v>
      </c>
      <c r="X18" s="231">
        <v>115720000</v>
      </c>
      <c r="Y18" s="6" t="s">
        <v>50</v>
      </c>
      <c r="Z18" s="7" t="s">
        <v>50</v>
      </c>
      <c r="AA18" s="6" t="s">
        <v>88</v>
      </c>
      <c r="AB18" s="7" t="s">
        <v>52</v>
      </c>
      <c r="AC18" s="59" t="s">
        <v>350</v>
      </c>
      <c r="AD18" s="6">
        <v>7431444</v>
      </c>
      <c r="AE18" s="59" t="s">
        <v>351</v>
      </c>
      <c r="AF18" s="6" t="s">
        <v>50</v>
      </c>
      <c r="AG18" s="7" t="s">
        <v>50</v>
      </c>
      <c r="AH18" s="7" t="s">
        <v>50</v>
      </c>
      <c r="AI18" s="265" t="s">
        <v>55</v>
      </c>
      <c r="AJ18" s="278" t="s">
        <v>55</v>
      </c>
      <c r="AK18" s="47" t="s">
        <v>55</v>
      </c>
      <c r="AL18" s="49" t="s">
        <v>50</v>
      </c>
      <c r="AM18" s="48" t="s">
        <v>605</v>
      </c>
      <c r="AN18" s="71"/>
      <c r="AO18" s="71">
        <f t="shared" si="0"/>
        <v>115720000</v>
      </c>
      <c r="AP18" s="49" t="s">
        <v>50</v>
      </c>
      <c r="AQ18" s="280"/>
    </row>
    <row r="19" spans="1:43" ht="85.5" x14ac:dyDescent="0.25">
      <c r="A19" s="32">
        <v>16</v>
      </c>
      <c r="B19" s="32" t="s">
        <v>36</v>
      </c>
      <c r="C19" s="32" t="s">
        <v>37</v>
      </c>
      <c r="D19" s="32" t="s">
        <v>83</v>
      </c>
      <c r="E19" s="32" t="s">
        <v>84</v>
      </c>
      <c r="F19" s="32" t="s">
        <v>40</v>
      </c>
      <c r="G19" s="32" t="s">
        <v>41</v>
      </c>
      <c r="H19" s="32" t="s">
        <v>42</v>
      </c>
      <c r="I19" s="32" t="s">
        <v>43</v>
      </c>
      <c r="J19" s="32" t="s">
        <v>43</v>
      </c>
      <c r="K19" s="32" t="s">
        <v>85</v>
      </c>
      <c r="L19" s="32">
        <v>410</v>
      </c>
      <c r="M19" s="32" t="s">
        <v>85</v>
      </c>
      <c r="N19" s="17">
        <v>682400000</v>
      </c>
      <c r="O19" s="5">
        <v>80111600</v>
      </c>
      <c r="P19" s="11" t="s">
        <v>93</v>
      </c>
      <c r="Q19" s="58" t="s">
        <v>87</v>
      </c>
      <c r="R19" s="58" t="s">
        <v>79</v>
      </c>
      <c r="S19" s="6">
        <v>9</v>
      </c>
      <c r="T19" s="6" t="s">
        <v>70</v>
      </c>
      <c r="U19" s="6" t="s">
        <v>48</v>
      </c>
      <c r="V19" s="11" t="s">
        <v>71</v>
      </c>
      <c r="W19" s="231">
        <v>94680000</v>
      </c>
      <c r="X19" s="231">
        <v>94680000</v>
      </c>
      <c r="Y19" s="6" t="s">
        <v>50</v>
      </c>
      <c r="Z19" s="7" t="s">
        <v>50</v>
      </c>
      <c r="AA19" s="6" t="s">
        <v>88</v>
      </c>
      <c r="AB19" s="7" t="s">
        <v>52</v>
      </c>
      <c r="AC19" s="59" t="s">
        <v>350</v>
      </c>
      <c r="AD19" s="6">
        <v>7431444</v>
      </c>
      <c r="AE19" s="59" t="s">
        <v>351</v>
      </c>
      <c r="AF19" s="6" t="s">
        <v>50</v>
      </c>
      <c r="AG19" s="7" t="s">
        <v>50</v>
      </c>
      <c r="AH19" s="7" t="s">
        <v>50</v>
      </c>
      <c r="AI19" s="265" t="s">
        <v>55</v>
      </c>
      <c r="AJ19" s="278" t="s">
        <v>55</v>
      </c>
      <c r="AK19" s="47" t="s">
        <v>55</v>
      </c>
      <c r="AL19" s="49" t="s">
        <v>50</v>
      </c>
      <c r="AM19" s="48"/>
      <c r="AN19" s="71"/>
      <c r="AO19" s="71">
        <f t="shared" si="0"/>
        <v>94680000</v>
      </c>
      <c r="AP19" s="49" t="s">
        <v>50</v>
      </c>
      <c r="AQ19" s="280"/>
    </row>
    <row r="20" spans="1:43" ht="71.25" x14ac:dyDescent="0.25">
      <c r="A20" s="32">
        <v>17</v>
      </c>
      <c r="B20" s="32" t="s">
        <v>94</v>
      </c>
      <c r="C20" s="32" t="s">
        <v>95</v>
      </c>
      <c r="D20" s="32" t="s">
        <v>96</v>
      </c>
      <c r="E20" s="32" t="s">
        <v>97</v>
      </c>
      <c r="F20" s="32" t="s">
        <v>40</v>
      </c>
      <c r="G20" s="32" t="s">
        <v>64</v>
      </c>
      <c r="H20" s="32" t="s">
        <v>65</v>
      </c>
      <c r="I20" s="32" t="s">
        <v>66</v>
      </c>
      <c r="J20" s="32" t="s">
        <v>66</v>
      </c>
      <c r="K20" s="32" t="s">
        <v>98</v>
      </c>
      <c r="L20" s="32">
        <v>420</v>
      </c>
      <c r="M20" s="32" t="s">
        <v>98</v>
      </c>
      <c r="N20" s="17">
        <v>403500000</v>
      </c>
      <c r="O20" s="5">
        <v>80111600</v>
      </c>
      <c r="P20" s="11" t="s">
        <v>99</v>
      </c>
      <c r="Q20" s="64" t="s">
        <v>87</v>
      </c>
      <c r="R20" s="59" t="s">
        <v>79</v>
      </c>
      <c r="S20" s="59">
        <v>9</v>
      </c>
      <c r="T20" s="59" t="s">
        <v>70</v>
      </c>
      <c r="U20" s="6" t="s">
        <v>48</v>
      </c>
      <c r="V20" s="7" t="s">
        <v>49</v>
      </c>
      <c r="W20" s="234">
        <v>57600000</v>
      </c>
      <c r="X20" s="234">
        <v>57600000</v>
      </c>
      <c r="Y20" s="6" t="s">
        <v>55</v>
      </c>
      <c r="Z20" s="6" t="s">
        <v>100</v>
      </c>
      <c r="AA20" s="6" t="s">
        <v>98</v>
      </c>
      <c r="AB20" s="7" t="s">
        <v>52</v>
      </c>
      <c r="AC20" s="59" t="s">
        <v>506</v>
      </c>
      <c r="AD20" s="6">
        <v>6017431444</v>
      </c>
      <c r="AE20" s="59" t="s">
        <v>507</v>
      </c>
      <c r="AF20" s="6" t="s">
        <v>101</v>
      </c>
      <c r="AG20" s="7" t="s">
        <v>50</v>
      </c>
      <c r="AH20" s="7" t="s">
        <v>50</v>
      </c>
      <c r="AI20" s="265" t="s">
        <v>55</v>
      </c>
      <c r="AJ20" s="278" t="s">
        <v>55</v>
      </c>
      <c r="AK20" s="47" t="s">
        <v>55</v>
      </c>
      <c r="AL20" s="49" t="s">
        <v>55</v>
      </c>
      <c r="AM20" s="48" t="s">
        <v>612</v>
      </c>
      <c r="AN20" s="71">
        <v>57600000</v>
      </c>
      <c r="AO20" s="71">
        <f t="shared" si="0"/>
        <v>0</v>
      </c>
      <c r="AP20" s="49" t="s">
        <v>55</v>
      </c>
      <c r="AQ20" s="280">
        <v>46022</v>
      </c>
    </row>
    <row r="21" spans="1:43" ht="71.25" x14ac:dyDescent="0.25">
      <c r="A21" s="32">
        <v>18</v>
      </c>
      <c r="B21" s="32" t="s">
        <v>94</v>
      </c>
      <c r="C21" s="32" t="s">
        <v>95</v>
      </c>
      <c r="D21" s="32" t="s">
        <v>96</v>
      </c>
      <c r="E21" s="32" t="s">
        <v>97</v>
      </c>
      <c r="F21" s="32" t="s">
        <v>40</v>
      </c>
      <c r="G21" s="32" t="s">
        <v>64</v>
      </c>
      <c r="H21" s="32" t="s">
        <v>65</v>
      </c>
      <c r="I21" s="32" t="s">
        <v>66</v>
      </c>
      <c r="J21" s="32" t="s">
        <v>66</v>
      </c>
      <c r="K21" s="32" t="s">
        <v>98</v>
      </c>
      <c r="L21" s="32">
        <v>420</v>
      </c>
      <c r="M21" s="32" t="s">
        <v>98</v>
      </c>
      <c r="N21" s="17">
        <v>403500000</v>
      </c>
      <c r="O21" s="5">
        <v>80111600</v>
      </c>
      <c r="P21" s="11" t="s">
        <v>102</v>
      </c>
      <c r="Q21" s="64" t="s">
        <v>87</v>
      </c>
      <c r="R21" s="59" t="s">
        <v>79</v>
      </c>
      <c r="S21" s="59">
        <v>9</v>
      </c>
      <c r="T21" s="59" t="s">
        <v>70</v>
      </c>
      <c r="U21" s="6" t="s">
        <v>48</v>
      </c>
      <c r="V21" s="7" t="s">
        <v>49</v>
      </c>
      <c r="W21" s="234">
        <v>99000000</v>
      </c>
      <c r="X21" s="234">
        <v>99000000</v>
      </c>
      <c r="Y21" s="6" t="s">
        <v>55</v>
      </c>
      <c r="Z21" s="6" t="s">
        <v>100</v>
      </c>
      <c r="AA21" s="6" t="s">
        <v>98</v>
      </c>
      <c r="AB21" s="7" t="s">
        <v>52</v>
      </c>
      <c r="AC21" s="59" t="s">
        <v>506</v>
      </c>
      <c r="AD21" s="6">
        <v>6017431444</v>
      </c>
      <c r="AE21" s="59" t="s">
        <v>507</v>
      </c>
      <c r="AF21" s="6" t="s">
        <v>101</v>
      </c>
      <c r="AG21" s="7" t="s">
        <v>50</v>
      </c>
      <c r="AH21" s="7" t="s">
        <v>50</v>
      </c>
      <c r="AI21" s="265" t="s">
        <v>55</v>
      </c>
      <c r="AJ21" s="278" t="s">
        <v>55</v>
      </c>
      <c r="AK21" s="47" t="s">
        <v>55</v>
      </c>
      <c r="AL21" s="49" t="s">
        <v>50</v>
      </c>
      <c r="AM21" s="48"/>
      <c r="AN21" s="71"/>
      <c r="AO21" s="71">
        <f t="shared" si="0"/>
        <v>99000000</v>
      </c>
      <c r="AP21" s="49" t="s">
        <v>50</v>
      </c>
      <c r="AQ21" s="280"/>
    </row>
    <row r="22" spans="1:43" ht="71.25" x14ac:dyDescent="0.25">
      <c r="A22" s="32">
        <v>19</v>
      </c>
      <c r="B22" s="32" t="s">
        <v>94</v>
      </c>
      <c r="C22" s="32" t="s">
        <v>95</v>
      </c>
      <c r="D22" s="32" t="s">
        <v>96</v>
      </c>
      <c r="E22" s="32" t="s">
        <v>97</v>
      </c>
      <c r="F22" s="32" t="s">
        <v>40</v>
      </c>
      <c r="G22" s="32" t="s">
        <v>64</v>
      </c>
      <c r="H22" s="32" t="s">
        <v>65</v>
      </c>
      <c r="I22" s="32" t="s">
        <v>66</v>
      </c>
      <c r="J22" s="32" t="s">
        <v>66</v>
      </c>
      <c r="K22" s="32" t="s">
        <v>98</v>
      </c>
      <c r="L22" s="32">
        <v>420</v>
      </c>
      <c r="M22" s="32" t="s">
        <v>98</v>
      </c>
      <c r="N22" s="17">
        <v>403500000</v>
      </c>
      <c r="O22" s="5">
        <v>80111600</v>
      </c>
      <c r="P22" s="11" t="s">
        <v>103</v>
      </c>
      <c r="Q22" s="64" t="s">
        <v>87</v>
      </c>
      <c r="R22" s="59" t="s">
        <v>79</v>
      </c>
      <c r="S22" s="59">
        <v>9</v>
      </c>
      <c r="T22" s="59" t="s">
        <v>70</v>
      </c>
      <c r="U22" s="6" t="s">
        <v>48</v>
      </c>
      <c r="V22" s="7" t="s">
        <v>49</v>
      </c>
      <c r="W22" s="234">
        <v>90000000</v>
      </c>
      <c r="X22" s="234">
        <v>90000000</v>
      </c>
      <c r="Y22" s="6" t="s">
        <v>55</v>
      </c>
      <c r="Z22" s="6" t="s">
        <v>100</v>
      </c>
      <c r="AA22" s="6" t="s">
        <v>98</v>
      </c>
      <c r="AB22" s="7" t="s">
        <v>52</v>
      </c>
      <c r="AC22" s="59" t="s">
        <v>506</v>
      </c>
      <c r="AD22" s="6">
        <v>6017431444</v>
      </c>
      <c r="AE22" s="59" t="s">
        <v>507</v>
      </c>
      <c r="AF22" s="6" t="s">
        <v>101</v>
      </c>
      <c r="AG22" s="7" t="s">
        <v>50</v>
      </c>
      <c r="AH22" s="7" t="s">
        <v>50</v>
      </c>
      <c r="AI22" s="265" t="s">
        <v>55</v>
      </c>
      <c r="AJ22" s="278" t="s">
        <v>55</v>
      </c>
      <c r="AK22" s="47" t="s">
        <v>55</v>
      </c>
      <c r="AL22" s="49" t="s">
        <v>55</v>
      </c>
      <c r="AM22" s="48" t="s">
        <v>614</v>
      </c>
      <c r="AN22" s="71">
        <v>90000000</v>
      </c>
      <c r="AO22" s="71">
        <f t="shared" si="0"/>
        <v>0</v>
      </c>
      <c r="AP22" s="49" t="s">
        <v>55</v>
      </c>
      <c r="AQ22" s="280">
        <v>46022</v>
      </c>
    </row>
    <row r="23" spans="1:43" ht="85.5" x14ac:dyDescent="0.25">
      <c r="A23" s="32">
        <v>20</v>
      </c>
      <c r="B23" s="32" t="s">
        <v>36</v>
      </c>
      <c r="C23" s="32" t="s">
        <v>37</v>
      </c>
      <c r="D23" s="32" t="s">
        <v>104</v>
      </c>
      <c r="E23" s="32" t="s">
        <v>105</v>
      </c>
      <c r="F23" s="32" t="s">
        <v>40</v>
      </c>
      <c r="G23" s="32" t="s">
        <v>106</v>
      </c>
      <c r="H23" s="32" t="s">
        <v>107</v>
      </c>
      <c r="I23" s="32" t="s">
        <v>108</v>
      </c>
      <c r="J23" s="32" t="s">
        <v>108</v>
      </c>
      <c r="K23" s="32" t="s">
        <v>109</v>
      </c>
      <c r="L23" s="32">
        <v>202</v>
      </c>
      <c r="M23" s="32" t="s">
        <v>109</v>
      </c>
      <c r="N23" s="17">
        <v>42300000</v>
      </c>
      <c r="O23" s="12">
        <v>76111500</v>
      </c>
      <c r="P23" s="11" t="s">
        <v>110</v>
      </c>
      <c r="Q23" s="5" t="s">
        <v>87</v>
      </c>
      <c r="R23" s="5" t="s">
        <v>87</v>
      </c>
      <c r="S23" s="7">
        <v>10</v>
      </c>
      <c r="T23" s="7" t="s">
        <v>70</v>
      </c>
      <c r="U23" s="7" t="s">
        <v>111</v>
      </c>
      <c r="V23" s="7" t="s">
        <v>112</v>
      </c>
      <c r="W23" s="233">
        <v>40000000</v>
      </c>
      <c r="X23" s="233">
        <v>40000000</v>
      </c>
      <c r="Y23" s="7" t="s">
        <v>50</v>
      </c>
      <c r="Z23" s="7" t="s">
        <v>50</v>
      </c>
      <c r="AA23" s="7" t="s">
        <v>113</v>
      </c>
      <c r="AB23" s="7" t="s">
        <v>52</v>
      </c>
      <c r="AC23" s="7" t="s">
        <v>114</v>
      </c>
      <c r="AD23" s="7">
        <v>7431444</v>
      </c>
      <c r="AE23" s="10" t="s">
        <v>115</v>
      </c>
      <c r="AF23" s="7" t="s">
        <v>50</v>
      </c>
      <c r="AG23" s="7" t="s">
        <v>50</v>
      </c>
      <c r="AH23" s="7" t="s">
        <v>50</v>
      </c>
      <c r="AI23" s="265" t="s">
        <v>55</v>
      </c>
      <c r="AJ23" s="278" t="s">
        <v>55</v>
      </c>
      <c r="AK23" s="47" t="s">
        <v>55</v>
      </c>
      <c r="AL23" s="49" t="s">
        <v>50</v>
      </c>
      <c r="AM23" s="48"/>
      <c r="AN23" s="71"/>
      <c r="AO23" s="71">
        <f t="shared" si="0"/>
        <v>40000000</v>
      </c>
      <c r="AP23" s="49" t="s">
        <v>50</v>
      </c>
      <c r="AQ23" s="280"/>
    </row>
    <row r="24" spans="1:43" ht="85.5" x14ac:dyDescent="0.25">
      <c r="A24" s="32">
        <v>21</v>
      </c>
      <c r="B24" s="32" t="s">
        <v>36</v>
      </c>
      <c r="C24" s="32" t="s">
        <v>37</v>
      </c>
      <c r="D24" s="32" t="s">
        <v>116</v>
      </c>
      <c r="E24" s="32" t="s">
        <v>117</v>
      </c>
      <c r="F24" s="32" t="s">
        <v>40</v>
      </c>
      <c r="G24" s="32" t="s">
        <v>106</v>
      </c>
      <c r="H24" s="32" t="s">
        <v>118</v>
      </c>
      <c r="I24" s="32" t="s">
        <v>119</v>
      </c>
      <c r="J24" s="32" t="s">
        <v>119</v>
      </c>
      <c r="K24" s="32" t="s">
        <v>109</v>
      </c>
      <c r="L24" s="32">
        <v>202</v>
      </c>
      <c r="M24" s="32" t="s">
        <v>109</v>
      </c>
      <c r="N24" s="17">
        <v>199874926</v>
      </c>
      <c r="O24" s="12">
        <v>78181701</v>
      </c>
      <c r="P24" s="13" t="s">
        <v>120</v>
      </c>
      <c r="Q24" s="5" t="s">
        <v>79</v>
      </c>
      <c r="R24" s="7" t="s">
        <v>121</v>
      </c>
      <c r="S24" s="7">
        <v>1</v>
      </c>
      <c r="T24" s="7" t="s">
        <v>122</v>
      </c>
      <c r="U24" s="7" t="s">
        <v>123</v>
      </c>
      <c r="V24" s="7" t="s">
        <v>112</v>
      </c>
      <c r="W24" s="233">
        <v>490000000</v>
      </c>
      <c r="X24" s="233">
        <v>280000000</v>
      </c>
      <c r="Y24" s="7" t="s">
        <v>55</v>
      </c>
      <c r="Z24" s="7" t="s">
        <v>124</v>
      </c>
      <c r="AA24" s="7" t="s">
        <v>113</v>
      </c>
      <c r="AB24" s="7" t="s">
        <v>52</v>
      </c>
      <c r="AC24" s="7" t="s">
        <v>114</v>
      </c>
      <c r="AD24" s="7">
        <v>7431444</v>
      </c>
      <c r="AE24" s="10" t="s">
        <v>115</v>
      </c>
      <c r="AF24" s="7" t="s">
        <v>50</v>
      </c>
      <c r="AG24" s="7" t="s">
        <v>50</v>
      </c>
      <c r="AH24" s="7" t="s">
        <v>50</v>
      </c>
      <c r="AI24" s="265" t="s">
        <v>55</v>
      </c>
      <c r="AJ24" s="278" t="s">
        <v>55</v>
      </c>
      <c r="AK24" s="47" t="s">
        <v>50</v>
      </c>
      <c r="AL24" s="49" t="s">
        <v>50</v>
      </c>
      <c r="AM24" s="48"/>
      <c r="AN24" s="71"/>
      <c r="AO24" s="71">
        <f t="shared" si="0"/>
        <v>490000000</v>
      </c>
      <c r="AP24" s="49" t="s">
        <v>620</v>
      </c>
      <c r="AQ24" s="280">
        <f>VLOOKUP(AP24,[1]Hoja2!$B:$W,18,0)</f>
        <v>45850</v>
      </c>
    </row>
    <row r="25" spans="1:43" ht="128.25" x14ac:dyDescent="0.25">
      <c r="A25" s="32">
        <v>22</v>
      </c>
      <c r="B25" s="32" t="s">
        <v>36</v>
      </c>
      <c r="C25" s="32" t="s">
        <v>37</v>
      </c>
      <c r="D25" s="32" t="s">
        <v>125</v>
      </c>
      <c r="E25" s="32" t="s">
        <v>126</v>
      </c>
      <c r="F25" s="32" t="s">
        <v>40</v>
      </c>
      <c r="G25" s="32" t="s">
        <v>106</v>
      </c>
      <c r="H25" s="32" t="s">
        <v>127</v>
      </c>
      <c r="I25" s="32" t="s">
        <v>128</v>
      </c>
      <c r="J25" s="32" t="s">
        <v>128</v>
      </c>
      <c r="K25" s="32" t="s">
        <v>109</v>
      </c>
      <c r="L25" s="32">
        <v>202</v>
      </c>
      <c r="M25" s="32" t="s">
        <v>109</v>
      </c>
      <c r="N25" s="17">
        <v>38000000</v>
      </c>
      <c r="O25" s="12" t="s">
        <v>129</v>
      </c>
      <c r="P25" s="11" t="s">
        <v>130</v>
      </c>
      <c r="Q25" s="5" t="s">
        <v>87</v>
      </c>
      <c r="R25" s="5" t="s">
        <v>87</v>
      </c>
      <c r="S25" s="7">
        <v>1</v>
      </c>
      <c r="T25" s="7" t="s">
        <v>122</v>
      </c>
      <c r="U25" s="7" t="s">
        <v>131</v>
      </c>
      <c r="V25" s="7" t="s">
        <v>112</v>
      </c>
      <c r="W25" s="233">
        <v>57500000</v>
      </c>
      <c r="X25" s="233">
        <v>38000000</v>
      </c>
      <c r="Y25" s="7" t="s">
        <v>55</v>
      </c>
      <c r="Z25" s="7" t="s">
        <v>124</v>
      </c>
      <c r="AA25" s="7" t="s">
        <v>113</v>
      </c>
      <c r="AB25" s="7" t="s">
        <v>52</v>
      </c>
      <c r="AC25" s="7" t="s">
        <v>114</v>
      </c>
      <c r="AD25" s="7">
        <v>7431444</v>
      </c>
      <c r="AE25" s="10" t="s">
        <v>115</v>
      </c>
      <c r="AF25" s="7" t="s">
        <v>50</v>
      </c>
      <c r="AG25" s="7" t="s">
        <v>50</v>
      </c>
      <c r="AH25" s="7" t="s">
        <v>50</v>
      </c>
      <c r="AI25" s="265" t="s">
        <v>55</v>
      </c>
      <c r="AJ25" s="278" t="s">
        <v>55</v>
      </c>
      <c r="AK25" s="47" t="s">
        <v>55</v>
      </c>
      <c r="AL25" s="49" t="s">
        <v>50</v>
      </c>
      <c r="AM25" s="48"/>
      <c r="AN25" s="71"/>
      <c r="AO25" s="71">
        <f t="shared" si="0"/>
        <v>57500000</v>
      </c>
      <c r="AP25" s="49" t="s">
        <v>50</v>
      </c>
      <c r="AQ25" s="280"/>
    </row>
    <row r="26" spans="1:43" ht="85.5" x14ac:dyDescent="0.25">
      <c r="A26" s="32">
        <v>23</v>
      </c>
      <c r="B26" s="32" t="s">
        <v>36</v>
      </c>
      <c r="C26" s="32" t="s">
        <v>37</v>
      </c>
      <c r="D26" s="32" t="s">
        <v>132</v>
      </c>
      <c r="E26" s="32" t="s">
        <v>133</v>
      </c>
      <c r="F26" s="32" t="s">
        <v>40</v>
      </c>
      <c r="G26" s="32" t="s">
        <v>106</v>
      </c>
      <c r="H26" s="32" t="s">
        <v>134</v>
      </c>
      <c r="I26" s="32" t="s">
        <v>135</v>
      </c>
      <c r="J26" s="32" t="s">
        <v>135</v>
      </c>
      <c r="K26" s="32" t="s">
        <v>109</v>
      </c>
      <c r="L26" s="32">
        <v>202</v>
      </c>
      <c r="M26" s="32" t="s">
        <v>109</v>
      </c>
      <c r="N26" s="17">
        <v>22638389</v>
      </c>
      <c r="O26" s="12" t="s">
        <v>136</v>
      </c>
      <c r="P26" s="11" t="s">
        <v>137</v>
      </c>
      <c r="Q26" s="5" t="s">
        <v>59</v>
      </c>
      <c r="R26" s="7" t="s">
        <v>59</v>
      </c>
      <c r="S26" s="7">
        <v>10</v>
      </c>
      <c r="T26" s="7" t="s">
        <v>70</v>
      </c>
      <c r="U26" s="7" t="s">
        <v>111</v>
      </c>
      <c r="V26" s="7" t="s">
        <v>112</v>
      </c>
      <c r="W26" s="233">
        <v>14235000</v>
      </c>
      <c r="X26" s="233">
        <v>14235000</v>
      </c>
      <c r="Y26" s="7" t="s">
        <v>50</v>
      </c>
      <c r="Z26" s="7" t="s">
        <v>50</v>
      </c>
      <c r="AA26" s="7" t="s">
        <v>113</v>
      </c>
      <c r="AB26" s="7" t="s">
        <v>52</v>
      </c>
      <c r="AC26" s="7" t="s">
        <v>114</v>
      </c>
      <c r="AD26" s="7">
        <v>7431444</v>
      </c>
      <c r="AE26" s="10" t="s">
        <v>115</v>
      </c>
      <c r="AF26" s="7" t="s">
        <v>50</v>
      </c>
      <c r="AG26" s="7" t="s">
        <v>50</v>
      </c>
      <c r="AH26" s="7" t="s">
        <v>50</v>
      </c>
      <c r="AI26" s="265" t="s">
        <v>55</v>
      </c>
      <c r="AJ26" s="278" t="s">
        <v>55</v>
      </c>
      <c r="AK26" s="47" t="s">
        <v>50</v>
      </c>
      <c r="AL26" s="49" t="s">
        <v>50</v>
      </c>
      <c r="AM26" s="48"/>
      <c r="AN26" s="71"/>
      <c r="AO26" s="71">
        <f t="shared" si="0"/>
        <v>14235000</v>
      </c>
      <c r="AP26" s="49" t="s">
        <v>50</v>
      </c>
      <c r="AQ26" s="280"/>
    </row>
    <row r="27" spans="1:43" ht="114" x14ac:dyDescent="0.25">
      <c r="A27" s="32">
        <v>24</v>
      </c>
      <c r="B27" s="32" t="s">
        <v>36</v>
      </c>
      <c r="C27" s="32" t="s">
        <v>37</v>
      </c>
      <c r="D27" s="32" t="s">
        <v>138</v>
      </c>
      <c r="E27" s="32" t="s">
        <v>139</v>
      </c>
      <c r="F27" s="32" t="s">
        <v>40</v>
      </c>
      <c r="G27" s="32" t="s">
        <v>106</v>
      </c>
      <c r="H27" s="32" t="s">
        <v>140</v>
      </c>
      <c r="I27" s="32" t="s">
        <v>141</v>
      </c>
      <c r="J27" s="32" t="s">
        <v>141</v>
      </c>
      <c r="K27" s="32" t="s">
        <v>109</v>
      </c>
      <c r="L27" s="32">
        <v>202</v>
      </c>
      <c r="M27" s="32" t="s">
        <v>109</v>
      </c>
      <c r="N27" s="17">
        <v>440000000</v>
      </c>
      <c r="O27" s="12" t="s">
        <v>142</v>
      </c>
      <c r="P27" s="11" t="s">
        <v>143</v>
      </c>
      <c r="Q27" s="5" t="s">
        <v>87</v>
      </c>
      <c r="R27" s="5" t="s">
        <v>87</v>
      </c>
      <c r="S27" s="7">
        <v>1</v>
      </c>
      <c r="T27" s="7" t="s">
        <v>122</v>
      </c>
      <c r="U27" s="7" t="s">
        <v>111</v>
      </c>
      <c r="V27" s="7" t="s">
        <v>112</v>
      </c>
      <c r="W27" s="233">
        <v>680000000</v>
      </c>
      <c r="X27" s="233">
        <v>440000000</v>
      </c>
      <c r="Y27" s="7" t="s">
        <v>55</v>
      </c>
      <c r="Z27" s="7" t="s">
        <v>124</v>
      </c>
      <c r="AA27" s="7" t="s">
        <v>113</v>
      </c>
      <c r="AB27" s="7" t="s">
        <v>52</v>
      </c>
      <c r="AC27" s="7" t="s">
        <v>114</v>
      </c>
      <c r="AD27" s="7">
        <v>7431444</v>
      </c>
      <c r="AE27" s="10" t="s">
        <v>115</v>
      </c>
      <c r="AF27" s="7" t="s">
        <v>50</v>
      </c>
      <c r="AG27" s="7" t="s">
        <v>50</v>
      </c>
      <c r="AH27" s="7" t="s">
        <v>50</v>
      </c>
      <c r="AI27" s="265" t="s">
        <v>55</v>
      </c>
      <c r="AJ27" s="278" t="s">
        <v>55</v>
      </c>
      <c r="AK27" s="47" t="s">
        <v>55</v>
      </c>
      <c r="AL27" s="49" t="s">
        <v>50</v>
      </c>
      <c r="AM27" s="48"/>
      <c r="AN27" s="71"/>
      <c r="AO27" s="71">
        <f t="shared" si="0"/>
        <v>680000000</v>
      </c>
      <c r="AP27" s="49" t="s">
        <v>50</v>
      </c>
      <c r="AQ27" s="280"/>
    </row>
    <row r="28" spans="1:43" ht="85.5" x14ac:dyDescent="0.25">
      <c r="A28" s="32">
        <v>25</v>
      </c>
      <c r="B28" s="32" t="s">
        <v>36</v>
      </c>
      <c r="C28" s="32" t="s">
        <v>37</v>
      </c>
      <c r="D28" s="32" t="s">
        <v>144</v>
      </c>
      <c r="E28" s="32" t="s">
        <v>145</v>
      </c>
      <c r="F28" s="32" t="s">
        <v>40</v>
      </c>
      <c r="G28" s="32" t="s">
        <v>106</v>
      </c>
      <c r="H28" s="32" t="s">
        <v>146</v>
      </c>
      <c r="I28" s="32" t="s">
        <v>147</v>
      </c>
      <c r="J28" s="32" t="s">
        <v>147</v>
      </c>
      <c r="K28" s="32" t="s">
        <v>109</v>
      </c>
      <c r="L28" s="32">
        <v>202</v>
      </c>
      <c r="M28" s="32" t="s">
        <v>109</v>
      </c>
      <c r="N28" s="17">
        <v>500000000</v>
      </c>
      <c r="O28" s="12" t="s">
        <v>148</v>
      </c>
      <c r="P28" s="11" t="s">
        <v>149</v>
      </c>
      <c r="Q28" s="5" t="s">
        <v>59</v>
      </c>
      <c r="R28" s="7" t="s">
        <v>59</v>
      </c>
      <c r="S28" s="7">
        <v>1</v>
      </c>
      <c r="T28" s="7" t="s">
        <v>122</v>
      </c>
      <c r="U28" s="7" t="s">
        <v>131</v>
      </c>
      <c r="V28" s="7" t="s">
        <v>112</v>
      </c>
      <c r="W28" s="233">
        <v>474000000</v>
      </c>
      <c r="X28" s="233">
        <v>351000000</v>
      </c>
      <c r="Y28" s="7" t="s">
        <v>55</v>
      </c>
      <c r="Z28" s="7" t="s">
        <v>124</v>
      </c>
      <c r="AA28" s="7" t="s">
        <v>113</v>
      </c>
      <c r="AB28" s="7" t="s">
        <v>52</v>
      </c>
      <c r="AC28" s="7" t="s">
        <v>114</v>
      </c>
      <c r="AD28" s="7">
        <v>7431444</v>
      </c>
      <c r="AE28" s="10" t="s">
        <v>115</v>
      </c>
      <c r="AF28" s="7" t="s">
        <v>50</v>
      </c>
      <c r="AG28" s="7" t="s">
        <v>50</v>
      </c>
      <c r="AH28" s="7" t="s">
        <v>50</v>
      </c>
      <c r="AI28" s="265" t="s">
        <v>55</v>
      </c>
      <c r="AJ28" s="278" t="s">
        <v>55</v>
      </c>
      <c r="AK28" s="47" t="s">
        <v>55</v>
      </c>
      <c r="AL28" s="49" t="s">
        <v>50</v>
      </c>
      <c r="AM28" s="48"/>
      <c r="AN28" s="71"/>
      <c r="AO28" s="71">
        <f t="shared" si="0"/>
        <v>474000000</v>
      </c>
      <c r="AP28" s="49" t="s">
        <v>50</v>
      </c>
      <c r="AQ28" s="280"/>
    </row>
    <row r="29" spans="1:43" ht="85.5" x14ac:dyDescent="0.25">
      <c r="A29" s="32">
        <v>26</v>
      </c>
      <c r="B29" s="32" t="s">
        <v>36</v>
      </c>
      <c r="C29" s="32" t="s">
        <v>37</v>
      </c>
      <c r="D29" s="32" t="s">
        <v>150</v>
      </c>
      <c r="E29" s="32" t="s">
        <v>151</v>
      </c>
      <c r="F29" s="32" t="s">
        <v>40</v>
      </c>
      <c r="G29" s="32" t="s">
        <v>152</v>
      </c>
      <c r="H29" s="32" t="s">
        <v>153</v>
      </c>
      <c r="I29" s="32" t="s">
        <v>154</v>
      </c>
      <c r="J29" s="32" t="s">
        <v>154</v>
      </c>
      <c r="K29" s="32" t="s">
        <v>109</v>
      </c>
      <c r="L29" s="32">
        <v>202</v>
      </c>
      <c r="M29" s="32" t="s">
        <v>109</v>
      </c>
      <c r="N29" s="17">
        <v>540000000</v>
      </c>
      <c r="O29" s="12" t="s">
        <v>155</v>
      </c>
      <c r="P29" s="11" t="s">
        <v>156</v>
      </c>
      <c r="Q29" s="5" t="s">
        <v>59</v>
      </c>
      <c r="R29" s="7" t="s">
        <v>59</v>
      </c>
      <c r="S29" s="7">
        <v>1</v>
      </c>
      <c r="T29" s="7" t="s">
        <v>122</v>
      </c>
      <c r="U29" s="7" t="s">
        <v>157</v>
      </c>
      <c r="V29" s="7" t="s">
        <v>112</v>
      </c>
      <c r="W29" s="233">
        <v>726000000</v>
      </c>
      <c r="X29" s="233">
        <v>540000000</v>
      </c>
      <c r="Y29" s="7" t="s">
        <v>55</v>
      </c>
      <c r="Z29" s="7" t="s">
        <v>124</v>
      </c>
      <c r="AA29" s="7" t="s">
        <v>113</v>
      </c>
      <c r="AB29" s="7" t="s">
        <v>52</v>
      </c>
      <c r="AC29" s="7" t="s">
        <v>114</v>
      </c>
      <c r="AD29" s="7">
        <v>7431444</v>
      </c>
      <c r="AE29" s="10" t="s">
        <v>115</v>
      </c>
      <c r="AF29" s="7" t="s">
        <v>50</v>
      </c>
      <c r="AG29" s="7" t="s">
        <v>50</v>
      </c>
      <c r="AH29" s="7" t="s">
        <v>55</v>
      </c>
      <c r="AI29" s="265" t="s">
        <v>55</v>
      </c>
      <c r="AJ29" s="278" t="s">
        <v>55</v>
      </c>
      <c r="AK29" s="47" t="s">
        <v>55</v>
      </c>
      <c r="AL29" s="49" t="s">
        <v>50</v>
      </c>
      <c r="AM29" s="48"/>
      <c r="AN29" s="71"/>
      <c r="AO29" s="71">
        <f t="shared" si="0"/>
        <v>726000000</v>
      </c>
      <c r="AP29" s="49" t="s">
        <v>621</v>
      </c>
      <c r="AQ29" s="280">
        <f>VLOOKUP(AP29,[1]Hoja2!$B:$W,18,0)</f>
        <v>45804</v>
      </c>
    </row>
    <row r="30" spans="1:43" ht="114" x14ac:dyDescent="0.25">
      <c r="A30" s="32">
        <v>27</v>
      </c>
      <c r="B30" s="32" t="s">
        <v>36</v>
      </c>
      <c r="C30" s="32" t="s">
        <v>37</v>
      </c>
      <c r="D30" s="32" t="s">
        <v>158</v>
      </c>
      <c r="E30" s="32" t="s">
        <v>159</v>
      </c>
      <c r="F30" s="32" t="s">
        <v>40</v>
      </c>
      <c r="G30" s="32" t="s">
        <v>160</v>
      </c>
      <c r="H30" s="32" t="s">
        <v>161</v>
      </c>
      <c r="I30" s="32" t="s">
        <v>162</v>
      </c>
      <c r="J30" s="32" t="s">
        <v>162</v>
      </c>
      <c r="K30" s="33" t="s">
        <v>163</v>
      </c>
      <c r="L30" s="33">
        <v>150</v>
      </c>
      <c r="M30" s="33" t="s">
        <v>163</v>
      </c>
      <c r="N30" s="31">
        <f>773585924+5894343706</f>
        <v>6667929630</v>
      </c>
      <c r="O30" s="5">
        <v>80111600</v>
      </c>
      <c r="P30" s="11" t="s">
        <v>164</v>
      </c>
      <c r="Q30" s="14" t="s">
        <v>59</v>
      </c>
      <c r="R30" s="14" t="s">
        <v>59</v>
      </c>
      <c r="S30" s="15">
        <v>12</v>
      </c>
      <c r="T30" s="15" t="s">
        <v>70</v>
      </c>
      <c r="U30" s="6" t="s">
        <v>48</v>
      </c>
      <c r="V30" s="15" t="s">
        <v>71</v>
      </c>
      <c r="W30" s="235">
        <f>79242228+316968881</f>
        <v>396211109</v>
      </c>
      <c r="X30" s="235">
        <f>79242228+316968881</f>
        <v>396211109</v>
      </c>
      <c r="Y30" s="7" t="s">
        <v>50</v>
      </c>
      <c r="Z30" s="15" t="s">
        <v>50</v>
      </c>
      <c r="AA30" s="6" t="s">
        <v>163</v>
      </c>
      <c r="AB30" s="7" t="s">
        <v>52</v>
      </c>
      <c r="AC30" s="15" t="s">
        <v>165</v>
      </c>
      <c r="AD30" s="15">
        <v>7431445</v>
      </c>
      <c r="AE30" s="16" t="s">
        <v>166</v>
      </c>
      <c r="AF30" s="15" t="s">
        <v>50</v>
      </c>
      <c r="AG30" s="7" t="s">
        <v>50</v>
      </c>
      <c r="AH30" s="7" t="s">
        <v>50</v>
      </c>
      <c r="AI30" s="267" t="s">
        <v>55</v>
      </c>
      <c r="AJ30" s="278" t="s">
        <v>55</v>
      </c>
      <c r="AK30" s="47" t="s">
        <v>55</v>
      </c>
      <c r="AL30" s="49" t="s">
        <v>50</v>
      </c>
      <c r="AM30" s="48"/>
      <c r="AN30" s="71"/>
      <c r="AO30" s="71">
        <f t="shared" si="0"/>
        <v>396211109</v>
      </c>
      <c r="AP30" s="49" t="s">
        <v>622</v>
      </c>
      <c r="AQ30" s="280">
        <f>VLOOKUP(AP30,[1]Hoja2!$B:$W,18,0)</f>
        <v>45811</v>
      </c>
    </row>
    <row r="31" spans="1:43" ht="71.25" x14ac:dyDescent="0.25">
      <c r="A31" s="32">
        <v>28</v>
      </c>
      <c r="B31" s="32" t="s">
        <v>36</v>
      </c>
      <c r="C31" s="32" t="s">
        <v>167</v>
      </c>
      <c r="D31" s="32" t="s">
        <v>168</v>
      </c>
      <c r="E31" s="32" t="s">
        <v>169</v>
      </c>
      <c r="F31" s="32" t="s">
        <v>40</v>
      </c>
      <c r="G31" s="32" t="s">
        <v>64</v>
      </c>
      <c r="H31" s="33" t="s">
        <v>65</v>
      </c>
      <c r="I31" s="33" t="s">
        <v>66</v>
      </c>
      <c r="J31" s="33" t="s">
        <v>66</v>
      </c>
      <c r="K31" s="33" t="s">
        <v>163</v>
      </c>
      <c r="L31" s="33">
        <v>150</v>
      </c>
      <c r="M31" s="33" t="s">
        <v>163</v>
      </c>
      <c r="N31" s="31">
        <v>150000000</v>
      </c>
      <c r="O31" s="63">
        <v>80111614</v>
      </c>
      <c r="P31" s="64" t="s">
        <v>562</v>
      </c>
      <c r="Q31" s="102" t="s">
        <v>79</v>
      </c>
      <c r="R31" s="102" t="s">
        <v>79</v>
      </c>
      <c r="S31" s="70">
        <v>8</v>
      </c>
      <c r="T31" s="70" t="s">
        <v>70</v>
      </c>
      <c r="U31" s="6" t="s">
        <v>48</v>
      </c>
      <c r="V31" s="15" t="s">
        <v>71</v>
      </c>
      <c r="W31" s="236">
        <v>56940000</v>
      </c>
      <c r="X31" s="236">
        <v>56940000</v>
      </c>
      <c r="Y31" s="7" t="s">
        <v>50</v>
      </c>
      <c r="Z31" s="7" t="s">
        <v>50</v>
      </c>
      <c r="AA31" s="6" t="s">
        <v>163</v>
      </c>
      <c r="AB31" s="7" t="s">
        <v>52</v>
      </c>
      <c r="AC31" s="15" t="s">
        <v>165</v>
      </c>
      <c r="AD31" s="15">
        <v>7431445</v>
      </c>
      <c r="AE31" s="16" t="s">
        <v>166</v>
      </c>
      <c r="AF31" s="15" t="s">
        <v>50</v>
      </c>
      <c r="AG31" s="7" t="s">
        <v>50</v>
      </c>
      <c r="AH31" s="7" t="s">
        <v>50</v>
      </c>
      <c r="AI31" s="267" t="s">
        <v>55</v>
      </c>
      <c r="AJ31" s="278" t="s">
        <v>55</v>
      </c>
      <c r="AK31" s="47" t="s">
        <v>55</v>
      </c>
      <c r="AL31" s="49" t="s">
        <v>55</v>
      </c>
      <c r="AM31" s="48" t="s">
        <v>607</v>
      </c>
      <c r="AN31" s="71">
        <v>56940000</v>
      </c>
      <c r="AO31" s="71">
        <f t="shared" si="0"/>
        <v>0</v>
      </c>
      <c r="AP31" s="49" t="s">
        <v>55</v>
      </c>
      <c r="AQ31" s="280" t="s">
        <v>688</v>
      </c>
    </row>
    <row r="32" spans="1:43" ht="71.25" x14ac:dyDescent="0.25">
      <c r="A32" s="32">
        <v>29</v>
      </c>
      <c r="B32" s="32" t="s">
        <v>36</v>
      </c>
      <c r="C32" s="32" t="s">
        <v>167</v>
      </c>
      <c r="D32" s="32" t="s">
        <v>168</v>
      </c>
      <c r="E32" s="32" t="s">
        <v>169</v>
      </c>
      <c r="F32" s="32" t="s">
        <v>40</v>
      </c>
      <c r="G32" s="32" t="s">
        <v>64</v>
      </c>
      <c r="H32" s="33" t="s">
        <v>65</v>
      </c>
      <c r="I32" s="33" t="s">
        <v>66</v>
      </c>
      <c r="J32" s="33" t="s">
        <v>66</v>
      </c>
      <c r="K32" s="33" t="s">
        <v>163</v>
      </c>
      <c r="L32" s="33">
        <v>150</v>
      </c>
      <c r="M32" s="33" t="s">
        <v>163</v>
      </c>
      <c r="N32" s="31">
        <v>150000000</v>
      </c>
      <c r="O32" s="63">
        <v>80111607</v>
      </c>
      <c r="P32" s="64" t="s">
        <v>563</v>
      </c>
      <c r="Q32" s="102" t="s">
        <v>79</v>
      </c>
      <c r="R32" s="102" t="s">
        <v>79</v>
      </c>
      <c r="S32" s="70">
        <v>8</v>
      </c>
      <c r="T32" s="70" t="s">
        <v>70</v>
      </c>
      <c r="U32" s="6" t="s">
        <v>48</v>
      </c>
      <c r="V32" s="15" t="s">
        <v>71</v>
      </c>
      <c r="W32" s="236">
        <v>56940000</v>
      </c>
      <c r="X32" s="236">
        <v>56940000</v>
      </c>
      <c r="Y32" s="7" t="s">
        <v>50</v>
      </c>
      <c r="Z32" s="7" t="s">
        <v>50</v>
      </c>
      <c r="AA32" s="6" t="s">
        <v>163</v>
      </c>
      <c r="AB32" s="7" t="s">
        <v>52</v>
      </c>
      <c r="AC32" s="15" t="s">
        <v>165</v>
      </c>
      <c r="AD32" s="15">
        <v>7431445</v>
      </c>
      <c r="AE32" s="16" t="s">
        <v>166</v>
      </c>
      <c r="AF32" s="15" t="s">
        <v>50</v>
      </c>
      <c r="AG32" s="7" t="s">
        <v>50</v>
      </c>
      <c r="AH32" s="7" t="s">
        <v>50</v>
      </c>
      <c r="AI32" s="267" t="s">
        <v>55</v>
      </c>
      <c r="AJ32" s="278" t="s">
        <v>55</v>
      </c>
      <c r="AK32" s="47" t="s">
        <v>55</v>
      </c>
      <c r="AL32" s="49" t="s">
        <v>50</v>
      </c>
      <c r="AM32" s="48"/>
      <c r="AN32" s="71"/>
      <c r="AO32" s="71">
        <f t="shared" si="0"/>
        <v>56940000</v>
      </c>
      <c r="AP32" s="49" t="s">
        <v>50</v>
      </c>
      <c r="AQ32" s="280"/>
    </row>
    <row r="33" spans="1:43" ht="71.25" x14ac:dyDescent="0.25">
      <c r="A33" s="32">
        <v>30</v>
      </c>
      <c r="B33" s="32" t="s">
        <v>36</v>
      </c>
      <c r="C33" s="32" t="s">
        <v>167</v>
      </c>
      <c r="D33" s="32" t="s">
        <v>171</v>
      </c>
      <c r="E33" s="32" t="s">
        <v>172</v>
      </c>
      <c r="F33" s="32" t="s">
        <v>173</v>
      </c>
      <c r="G33" s="32" t="s">
        <v>106</v>
      </c>
      <c r="H33" s="32" t="s">
        <v>174</v>
      </c>
      <c r="I33" s="32" t="s">
        <v>175</v>
      </c>
      <c r="J33" s="32" t="s">
        <v>175</v>
      </c>
      <c r="K33" s="32" t="s">
        <v>176</v>
      </c>
      <c r="L33" s="32">
        <v>320</v>
      </c>
      <c r="M33" s="32" t="s">
        <v>176</v>
      </c>
      <c r="N33" s="17">
        <v>40000000</v>
      </c>
      <c r="O33" s="6">
        <v>80141705</v>
      </c>
      <c r="P33" s="7" t="s">
        <v>177</v>
      </c>
      <c r="Q33" s="11" t="s">
        <v>87</v>
      </c>
      <c r="R33" s="6" t="s">
        <v>87</v>
      </c>
      <c r="S33" s="6">
        <v>9</v>
      </c>
      <c r="T33" s="6" t="s">
        <v>70</v>
      </c>
      <c r="U33" s="6" t="s">
        <v>61</v>
      </c>
      <c r="V33" s="6" t="s">
        <v>112</v>
      </c>
      <c r="W33" s="231">
        <v>40000000</v>
      </c>
      <c r="X33" s="231">
        <v>40000000</v>
      </c>
      <c r="Y33" s="7" t="s">
        <v>50</v>
      </c>
      <c r="Z33" s="7" t="s">
        <v>50</v>
      </c>
      <c r="AA33" s="6" t="s">
        <v>176</v>
      </c>
      <c r="AB33" s="7" t="s">
        <v>52</v>
      </c>
      <c r="AC33" s="59" t="s">
        <v>566</v>
      </c>
      <c r="AD33" s="6">
        <v>6017431444</v>
      </c>
      <c r="AE33" s="59" t="s">
        <v>567</v>
      </c>
      <c r="AF33" s="6" t="s">
        <v>50</v>
      </c>
      <c r="AG33" s="7" t="s">
        <v>50</v>
      </c>
      <c r="AH33" s="7" t="s">
        <v>50</v>
      </c>
      <c r="AI33" s="267" t="s">
        <v>55</v>
      </c>
      <c r="AJ33" s="278" t="s">
        <v>55</v>
      </c>
      <c r="AK33" s="47" t="s">
        <v>50</v>
      </c>
      <c r="AL33" s="49" t="s">
        <v>50</v>
      </c>
      <c r="AM33" s="48"/>
      <c r="AN33" s="71"/>
      <c r="AO33" s="71">
        <f t="shared" si="0"/>
        <v>40000000</v>
      </c>
      <c r="AP33" s="49" t="s">
        <v>50</v>
      </c>
      <c r="AQ33" s="280"/>
    </row>
    <row r="34" spans="1:43" ht="85.5" x14ac:dyDescent="0.25">
      <c r="A34" s="32">
        <v>31</v>
      </c>
      <c r="B34" s="32" t="s">
        <v>36</v>
      </c>
      <c r="C34" s="32" t="s">
        <v>37</v>
      </c>
      <c r="D34" s="32" t="s">
        <v>180</v>
      </c>
      <c r="E34" s="32" t="s">
        <v>181</v>
      </c>
      <c r="F34" s="32" t="s">
        <v>40</v>
      </c>
      <c r="G34" s="32" t="s">
        <v>64</v>
      </c>
      <c r="H34" s="32" t="s">
        <v>65</v>
      </c>
      <c r="I34" s="32" t="s">
        <v>182</v>
      </c>
      <c r="J34" s="32" t="s">
        <v>182</v>
      </c>
      <c r="K34" s="32" t="s">
        <v>176</v>
      </c>
      <c r="L34" s="32">
        <v>320</v>
      </c>
      <c r="M34" s="32" t="s">
        <v>176</v>
      </c>
      <c r="N34" s="17">
        <v>248000000</v>
      </c>
      <c r="O34" s="5">
        <v>80111600</v>
      </c>
      <c r="P34" s="11" t="s">
        <v>183</v>
      </c>
      <c r="Q34" s="64" t="s">
        <v>79</v>
      </c>
      <c r="R34" s="64" t="s">
        <v>79</v>
      </c>
      <c r="S34" s="6">
        <v>6</v>
      </c>
      <c r="T34" s="6" t="s">
        <v>70</v>
      </c>
      <c r="U34" s="6" t="s">
        <v>48</v>
      </c>
      <c r="V34" s="6" t="s">
        <v>112</v>
      </c>
      <c r="W34" s="234">
        <v>39672000</v>
      </c>
      <c r="X34" s="234">
        <v>39672000</v>
      </c>
      <c r="Y34" s="7" t="s">
        <v>50</v>
      </c>
      <c r="Z34" s="7" t="s">
        <v>50</v>
      </c>
      <c r="AA34" s="6" t="s">
        <v>176</v>
      </c>
      <c r="AB34" s="7" t="s">
        <v>52</v>
      </c>
      <c r="AC34" s="59" t="s">
        <v>566</v>
      </c>
      <c r="AD34" s="6">
        <v>6017431444</v>
      </c>
      <c r="AE34" s="59" t="s">
        <v>567</v>
      </c>
      <c r="AF34" s="6" t="s">
        <v>50</v>
      </c>
      <c r="AG34" s="7" t="s">
        <v>50</v>
      </c>
      <c r="AH34" s="7" t="s">
        <v>50</v>
      </c>
      <c r="AI34" s="267" t="s">
        <v>55</v>
      </c>
      <c r="AJ34" s="278" t="s">
        <v>55</v>
      </c>
      <c r="AK34" s="47" t="s">
        <v>55</v>
      </c>
      <c r="AL34" s="49" t="s">
        <v>55</v>
      </c>
      <c r="AM34" s="48" t="s">
        <v>608</v>
      </c>
      <c r="AN34" s="71">
        <v>39672000</v>
      </c>
      <c r="AO34" s="71">
        <f t="shared" si="0"/>
        <v>0</v>
      </c>
      <c r="AP34" s="49" t="s">
        <v>608</v>
      </c>
      <c r="AQ34" s="280">
        <v>45954</v>
      </c>
    </row>
    <row r="35" spans="1:43" ht="85.5" x14ac:dyDescent="0.25">
      <c r="A35" s="32">
        <v>32</v>
      </c>
      <c r="B35" s="32" t="s">
        <v>36</v>
      </c>
      <c r="C35" s="32" t="s">
        <v>37</v>
      </c>
      <c r="D35" s="32" t="s">
        <v>180</v>
      </c>
      <c r="E35" s="32" t="s">
        <v>181</v>
      </c>
      <c r="F35" s="32" t="s">
        <v>40</v>
      </c>
      <c r="G35" s="32" t="s">
        <v>64</v>
      </c>
      <c r="H35" s="32" t="s">
        <v>65</v>
      </c>
      <c r="I35" s="32" t="s">
        <v>182</v>
      </c>
      <c r="J35" s="32" t="s">
        <v>182</v>
      </c>
      <c r="K35" s="32" t="s">
        <v>176</v>
      </c>
      <c r="L35" s="32">
        <v>320</v>
      </c>
      <c r="M35" s="32" t="s">
        <v>176</v>
      </c>
      <c r="N35" s="17">
        <v>248000000</v>
      </c>
      <c r="O35" s="5">
        <v>80111600</v>
      </c>
      <c r="P35" s="64" t="s">
        <v>568</v>
      </c>
      <c r="Q35" s="64" t="s">
        <v>79</v>
      </c>
      <c r="R35" s="64" t="s">
        <v>79</v>
      </c>
      <c r="S35" s="6">
        <v>6</v>
      </c>
      <c r="T35" s="6" t="s">
        <v>70</v>
      </c>
      <c r="U35" s="6" t="s">
        <v>48</v>
      </c>
      <c r="V35" s="6" t="s">
        <v>112</v>
      </c>
      <c r="W35" s="234">
        <v>34764000</v>
      </c>
      <c r="X35" s="234">
        <v>34764000</v>
      </c>
      <c r="Y35" s="7" t="s">
        <v>50</v>
      </c>
      <c r="Z35" s="7" t="s">
        <v>50</v>
      </c>
      <c r="AA35" s="6" t="s">
        <v>176</v>
      </c>
      <c r="AB35" s="7" t="s">
        <v>52</v>
      </c>
      <c r="AC35" s="59" t="s">
        <v>566</v>
      </c>
      <c r="AD35" s="6">
        <v>6017431444</v>
      </c>
      <c r="AE35" s="59" t="s">
        <v>567</v>
      </c>
      <c r="AF35" s="6" t="s">
        <v>50</v>
      </c>
      <c r="AG35" s="7" t="s">
        <v>50</v>
      </c>
      <c r="AH35" s="7" t="s">
        <v>50</v>
      </c>
      <c r="AI35" s="267" t="s">
        <v>55</v>
      </c>
      <c r="AJ35" s="278" t="s">
        <v>55</v>
      </c>
      <c r="AK35" s="47" t="s">
        <v>55</v>
      </c>
      <c r="AL35" s="49" t="s">
        <v>55</v>
      </c>
      <c r="AM35" s="48" t="s">
        <v>611</v>
      </c>
      <c r="AN35" s="71">
        <v>34764000</v>
      </c>
      <c r="AO35" s="71">
        <f t="shared" si="0"/>
        <v>0</v>
      </c>
      <c r="AP35" s="49" t="s">
        <v>611</v>
      </c>
      <c r="AQ35" s="280">
        <f>VLOOKUP(AM35,[1]Hoja2!$B:$W,18,0)</f>
        <v>45957</v>
      </c>
    </row>
    <row r="36" spans="1:43" ht="85.5" x14ac:dyDescent="0.25">
      <c r="A36" s="32">
        <v>33</v>
      </c>
      <c r="B36" s="32" t="s">
        <v>36</v>
      </c>
      <c r="C36" s="32" t="s">
        <v>37</v>
      </c>
      <c r="D36" s="32" t="s">
        <v>180</v>
      </c>
      <c r="E36" s="32" t="s">
        <v>181</v>
      </c>
      <c r="F36" s="32" t="s">
        <v>40</v>
      </c>
      <c r="G36" s="32" t="s">
        <v>64</v>
      </c>
      <c r="H36" s="32" t="s">
        <v>65</v>
      </c>
      <c r="I36" s="32" t="s">
        <v>182</v>
      </c>
      <c r="J36" s="32" t="s">
        <v>182</v>
      </c>
      <c r="K36" s="32" t="s">
        <v>176</v>
      </c>
      <c r="L36" s="32">
        <v>320</v>
      </c>
      <c r="M36" s="32" t="s">
        <v>176</v>
      </c>
      <c r="N36" s="17">
        <v>248000000</v>
      </c>
      <c r="O36" s="6">
        <v>80111600</v>
      </c>
      <c r="P36" s="7" t="s">
        <v>185</v>
      </c>
      <c r="Q36" s="6" t="s">
        <v>59</v>
      </c>
      <c r="R36" s="6" t="s">
        <v>59</v>
      </c>
      <c r="S36" s="6">
        <v>180</v>
      </c>
      <c r="T36" s="6" t="s">
        <v>47</v>
      </c>
      <c r="U36" s="6" t="s">
        <v>48</v>
      </c>
      <c r="V36" s="6" t="s">
        <v>112</v>
      </c>
      <c r="W36" s="231">
        <v>54600000</v>
      </c>
      <c r="X36" s="231">
        <v>54600000</v>
      </c>
      <c r="Y36" s="7" t="s">
        <v>50</v>
      </c>
      <c r="Z36" s="7" t="s">
        <v>50</v>
      </c>
      <c r="AA36" s="6" t="s">
        <v>176</v>
      </c>
      <c r="AB36" s="7" t="s">
        <v>52</v>
      </c>
      <c r="AC36" s="59" t="s">
        <v>566</v>
      </c>
      <c r="AD36" s="6">
        <v>6017431444</v>
      </c>
      <c r="AE36" s="59" t="s">
        <v>567</v>
      </c>
      <c r="AF36" s="6" t="s">
        <v>50</v>
      </c>
      <c r="AG36" s="7" t="s">
        <v>50</v>
      </c>
      <c r="AH36" s="7" t="s">
        <v>50</v>
      </c>
      <c r="AI36" s="267" t="s">
        <v>55</v>
      </c>
      <c r="AJ36" s="278" t="s">
        <v>55</v>
      </c>
      <c r="AK36" s="47" t="s">
        <v>55</v>
      </c>
      <c r="AL36" s="49" t="s">
        <v>55</v>
      </c>
      <c r="AM36" s="48" t="s">
        <v>601</v>
      </c>
      <c r="AN36" s="71">
        <v>54600000</v>
      </c>
      <c r="AO36" s="71">
        <f t="shared" si="0"/>
        <v>0</v>
      </c>
      <c r="AP36" s="49" t="s">
        <v>601</v>
      </c>
      <c r="AQ36" s="280">
        <f>VLOOKUP(AM36,[1]Hoja2!$B:$W,18,0)</f>
        <v>45924</v>
      </c>
    </row>
    <row r="37" spans="1:43" s="41" customFormat="1" ht="85.5" x14ac:dyDescent="0.25">
      <c r="A37" s="32">
        <v>34</v>
      </c>
      <c r="B37" s="32" t="s">
        <v>36</v>
      </c>
      <c r="C37" s="32" t="s">
        <v>37</v>
      </c>
      <c r="D37" s="32" t="s">
        <v>188</v>
      </c>
      <c r="E37" s="32" t="s">
        <v>189</v>
      </c>
      <c r="F37" s="32" t="s">
        <v>40</v>
      </c>
      <c r="G37" s="32" t="s">
        <v>64</v>
      </c>
      <c r="H37" s="32" t="s">
        <v>65</v>
      </c>
      <c r="I37" s="32" t="s">
        <v>182</v>
      </c>
      <c r="J37" s="32" t="s">
        <v>182</v>
      </c>
      <c r="K37" s="32" t="s">
        <v>190</v>
      </c>
      <c r="L37" s="32">
        <v>210</v>
      </c>
      <c r="M37" s="32" t="s">
        <v>190</v>
      </c>
      <c r="N37" s="17">
        <v>70000000</v>
      </c>
      <c r="O37" s="43">
        <v>80111701</v>
      </c>
      <c r="P37" s="13" t="s">
        <v>480</v>
      </c>
      <c r="Q37" s="13" t="s">
        <v>59</v>
      </c>
      <c r="R37" s="18" t="s">
        <v>59</v>
      </c>
      <c r="S37" s="18">
        <v>12</v>
      </c>
      <c r="T37" s="22" t="s">
        <v>70</v>
      </c>
      <c r="U37" s="18" t="s">
        <v>111</v>
      </c>
      <c r="V37" s="18" t="s">
        <v>112</v>
      </c>
      <c r="W37" s="232">
        <v>70000000</v>
      </c>
      <c r="X37" s="232">
        <v>70000000</v>
      </c>
      <c r="Y37" s="22" t="s">
        <v>50</v>
      </c>
      <c r="Z37" s="22" t="s">
        <v>50</v>
      </c>
      <c r="AA37" s="18" t="s">
        <v>190</v>
      </c>
      <c r="AB37" s="22" t="s">
        <v>52</v>
      </c>
      <c r="AC37" s="18" t="s">
        <v>191</v>
      </c>
      <c r="AD37" s="18">
        <v>6017431444</v>
      </c>
      <c r="AE37" s="18" t="s">
        <v>192</v>
      </c>
      <c r="AF37" s="18" t="s">
        <v>50</v>
      </c>
      <c r="AG37" s="22" t="s">
        <v>50</v>
      </c>
      <c r="AH37" s="22" t="s">
        <v>50</v>
      </c>
      <c r="AI37" s="268" t="s">
        <v>55</v>
      </c>
      <c r="AJ37" s="278" t="s">
        <v>55</v>
      </c>
      <c r="AK37" s="49" t="s">
        <v>55</v>
      </c>
      <c r="AL37" s="49" t="s">
        <v>55</v>
      </c>
      <c r="AM37" s="33" t="s">
        <v>615</v>
      </c>
      <c r="AN37" s="72">
        <v>70000000</v>
      </c>
      <c r="AO37" s="71">
        <f t="shared" si="0"/>
        <v>0</v>
      </c>
      <c r="AP37" s="49" t="s">
        <v>55</v>
      </c>
      <c r="AQ37" s="280">
        <v>46061</v>
      </c>
    </row>
    <row r="38" spans="1:43" s="41" customFormat="1" ht="57" x14ac:dyDescent="0.25">
      <c r="A38" s="32">
        <v>35</v>
      </c>
      <c r="B38" s="32" t="s">
        <v>186</v>
      </c>
      <c r="C38" s="32" t="s">
        <v>187</v>
      </c>
      <c r="D38" s="32" t="s">
        <v>193</v>
      </c>
      <c r="E38" s="32" t="s">
        <v>194</v>
      </c>
      <c r="F38" s="32" t="s">
        <v>40</v>
      </c>
      <c r="G38" s="32" t="s">
        <v>64</v>
      </c>
      <c r="H38" s="32" t="s">
        <v>65</v>
      </c>
      <c r="I38" s="32" t="s">
        <v>182</v>
      </c>
      <c r="J38" s="32" t="s">
        <v>182</v>
      </c>
      <c r="K38" s="32" t="s">
        <v>190</v>
      </c>
      <c r="L38" s="32">
        <v>210</v>
      </c>
      <c r="M38" s="32" t="s">
        <v>190</v>
      </c>
      <c r="N38" s="17">
        <v>20000000</v>
      </c>
      <c r="O38" s="18">
        <v>80111701</v>
      </c>
      <c r="P38" s="13" t="s">
        <v>195</v>
      </c>
      <c r="Q38" s="13" t="s">
        <v>59</v>
      </c>
      <c r="R38" s="18" t="s">
        <v>59</v>
      </c>
      <c r="S38" s="18">
        <v>12</v>
      </c>
      <c r="T38" s="22" t="s">
        <v>70</v>
      </c>
      <c r="U38" s="18" t="s">
        <v>111</v>
      </c>
      <c r="V38" s="18" t="s">
        <v>112</v>
      </c>
      <c r="W38" s="232">
        <v>20000000</v>
      </c>
      <c r="X38" s="232">
        <v>20000000</v>
      </c>
      <c r="Y38" s="22" t="s">
        <v>50</v>
      </c>
      <c r="Z38" s="22" t="s">
        <v>50</v>
      </c>
      <c r="AA38" s="18" t="s">
        <v>190</v>
      </c>
      <c r="AB38" s="22" t="s">
        <v>52</v>
      </c>
      <c r="AC38" s="18" t="s">
        <v>191</v>
      </c>
      <c r="AD38" s="18">
        <v>6017431444</v>
      </c>
      <c r="AE38" s="18" t="s">
        <v>192</v>
      </c>
      <c r="AF38" s="18" t="s">
        <v>50</v>
      </c>
      <c r="AG38" s="22" t="s">
        <v>50</v>
      </c>
      <c r="AH38" s="22" t="s">
        <v>50</v>
      </c>
      <c r="AI38" s="268" t="s">
        <v>55</v>
      </c>
      <c r="AJ38" s="278" t="s">
        <v>55</v>
      </c>
      <c r="AK38" s="47" t="s">
        <v>55</v>
      </c>
      <c r="AL38" s="49" t="s">
        <v>50</v>
      </c>
      <c r="AM38" s="33"/>
      <c r="AN38" s="72"/>
      <c r="AO38" s="71">
        <f t="shared" si="0"/>
        <v>20000000</v>
      </c>
      <c r="AP38" s="49" t="s">
        <v>50</v>
      </c>
      <c r="AQ38" s="280"/>
    </row>
    <row r="39" spans="1:43" s="41" customFormat="1" ht="57" x14ac:dyDescent="0.25">
      <c r="A39" s="32">
        <v>36</v>
      </c>
      <c r="B39" s="32" t="s">
        <v>186</v>
      </c>
      <c r="C39" s="32" t="s">
        <v>196</v>
      </c>
      <c r="D39" s="32" t="s">
        <v>197</v>
      </c>
      <c r="E39" s="32" t="s">
        <v>198</v>
      </c>
      <c r="F39" s="32" t="s">
        <v>40</v>
      </c>
      <c r="G39" s="32" t="s">
        <v>64</v>
      </c>
      <c r="H39" s="32" t="s">
        <v>65</v>
      </c>
      <c r="I39" s="32" t="s">
        <v>182</v>
      </c>
      <c r="J39" s="32" t="s">
        <v>182</v>
      </c>
      <c r="K39" s="32" t="s">
        <v>190</v>
      </c>
      <c r="L39" s="32">
        <v>210</v>
      </c>
      <c r="M39" s="32" t="s">
        <v>190</v>
      </c>
      <c r="N39" s="17">
        <v>13456000</v>
      </c>
      <c r="O39" s="18" t="s">
        <v>199</v>
      </c>
      <c r="P39" s="13" t="s">
        <v>200</v>
      </c>
      <c r="Q39" s="13" t="s">
        <v>87</v>
      </c>
      <c r="R39" s="18" t="s">
        <v>87</v>
      </c>
      <c r="S39" s="18">
        <v>12</v>
      </c>
      <c r="T39" s="22" t="s">
        <v>70</v>
      </c>
      <c r="U39" s="18" t="s">
        <v>111</v>
      </c>
      <c r="V39" s="18" t="s">
        <v>112</v>
      </c>
      <c r="W39" s="232">
        <v>13456000</v>
      </c>
      <c r="X39" s="232">
        <v>13456000</v>
      </c>
      <c r="Y39" s="22" t="s">
        <v>50</v>
      </c>
      <c r="Z39" s="22" t="s">
        <v>50</v>
      </c>
      <c r="AA39" s="18" t="s">
        <v>190</v>
      </c>
      <c r="AB39" s="22" t="s">
        <v>52</v>
      </c>
      <c r="AC39" s="18" t="s">
        <v>191</v>
      </c>
      <c r="AD39" s="18">
        <v>6017431444</v>
      </c>
      <c r="AE39" s="18" t="s">
        <v>192</v>
      </c>
      <c r="AF39" s="18" t="s">
        <v>50</v>
      </c>
      <c r="AG39" s="22" t="s">
        <v>50</v>
      </c>
      <c r="AH39" s="22" t="s">
        <v>50</v>
      </c>
      <c r="AI39" s="268" t="s">
        <v>55</v>
      </c>
      <c r="AJ39" s="278" t="s">
        <v>55</v>
      </c>
      <c r="AK39" s="47" t="s">
        <v>50</v>
      </c>
      <c r="AL39" s="49" t="s">
        <v>50</v>
      </c>
      <c r="AM39" s="33"/>
      <c r="AN39" s="72"/>
      <c r="AO39" s="71">
        <f t="shared" si="0"/>
        <v>13456000</v>
      </c>
      <c r="AP39" s="49" t="s">
        <v>623</v>
      </c>
      <c r="AQ39" s="280">
        <f>VLOOKUP(AP39,[1]Hoja2!$B:$W,18,0)</f>
        <v>45810</v>
      </c>
    </row>
    <row r="40" spans="1:43" s="41" customFormat="1" ht="85.5" x14ac:dyDescent="0.25">
      <c r="A40" s="32">
        <v>37</v>
      </c>
      <c r="B40" s="32" t="s">
        <v>36</v>
      </c>
      <c r="C40" s="32" t="s">
        <v>37</v>
      </c>
      <c r="D40" s="32" t="s">
        <v>201</v>
      </c>
      <c r="E40" s="32" t="s">
        <v>202</v>
      </c>
      <c r="F40" s="32" t="s">
        <v>40</v>
      </c>
      <c r="G40" s="32" t="s">
        <v>64</v>
      </c>
      <c r="H40" s="32" t="s">
        <v>65</v>
      </c>
      <c r="I40" s="32" t="s">
        <v>182</v>
      </c>
      <c r="J40" s="32" t="s">
        <v>182</v>
      </c>
      <c r="K40" s="32" t="s">
        <v>190</v>
      </c>
      <c r="L40" s="32">
        <v>210</v>
      </c>
      <c r="M40" s="32" t="s">
        <v>190</v>
      </c>
      <c r="N40" s="17">
        <v>30000000</v>
      </c>
      <c r="O40" s="24">
        <v>84111600</v>
      </c>
      <c r="P40" s="13" t="s">
        <v>203</v>
      </c>
      <c r="Q40" s="13" t="s">
        <v>87</v>
      </c>
      <c r="R40" s="18" t="s">
        <v>79</v>
      </c>
      <c r="S40" s="18">
        <v>8</v>
      </c>
      <c r="T40" s="18" t="s">
        <v>70</v>
      </c>
      <c r="U40" s="18" t="s">
        <v>111</v>
      </c>
      <c r="V40" s="18" t="s">
        <v>112</v>
      </c>
      <c r="W40" s="232">
        <v>30000000</v>
      </c>
      <c r="X40" s="232">
        <v>30000000</v>
      </c>
      <c r="Y40" s="22" t="s">
        <v>50</v>
      </c>
      <c r="Z40" s="22" t="s">
        <v>50</v>
      </c>
      <c r="AA40" s="18" t="s">
        <v>190</v>
      </c>
      <c r="AB40" s="22" t="s">
        <v>52</v>
      </c>
      <c r="AC40" s="18" t="s">
        <v>191</v>
      </c>
      <c r="AD40" s="18">
        <v>6017431444</v>
      </c>
      <c r="AE40" s="18" t="s">
        <v>192</v>
      </c>
      <c r="AF40" s="18" t="s">
        <v>50</v>
      </c>
      <c r="AG40" s="22" t="s">
        <v>50</v>
      </c>
      <c r="AH40" s="22" t="s">
        <v>50</v>
      </c>
      <c r="AI40" s="268" t="s">
        <v>55</v>
      </c>
      <c r="AJ40" s="278" t="s">
        <v>55</v>
      </c>
      <c r="AK40" s="47" t="s">
        <v>50</v>
      </c>
      <c r="AL40" s="49" t="s">
        <v>50</v>
      </c>
      <c r="AM40" s="33"/>
      <c r="AN40" s="72"/>
      <c r="AO40" s="71">
        <f t="shared" si="0"/>
        <v>30000000</v>
      </c>
      <c r="AP40" s="49" t="s">
        <v>50</v>
      </c>
      <c r="AQ40" s="280"/>
    </row>
    <row r="41" spans="1:43" s="41" customFormat="1" ht="99.75" x14ac:dyDescent="0.25">
      <c r="A41" s="32">
        <v>38</v>
      </c>
      <c r="B41" s="32" t="s">
        <v>186</v>
      </c>
      <c r="C41" s="32" t="s">
        <v>196</v>
      </c>
      <c r="D41" s="32" t="s">
        <v>205</v>
      </c>
      <c r="E41" s="32" t="s">
        <v>453</v>
      </c>
      <c r="F41" s="32" t="s">
        <v>40</v>
      </c>
      <c r="G41" s="32" t="s">
        <v>106</v>
      </c>
      <c r="H41" s="32" t="s">
        <v>454</v>
      </c>
      <c r="I41" s="32" t="s">
        <v>455</v>
      </c>
      <c r="J41" s="32" t="s">
        <v>208</v>
      </c>
      <c r="K41" s="32" t="s">
        <v>190</v>
      </c>
      <c r="L41" s="32">
        <v>210</v>
      </c>
      <c r="M41" s="32" t="s">
        <v>190</v>
      </c>
      <c r="N41" s="17">
        <v>86564320</v>
      </c>
      <c r="O41" s="44" t="s">
        <v>204</v>
      </c>
      <c r="P41" s="24" t="s">
        <v>456</v>
      </c>
      <c r="Q41" s="45" t="s">
        <v>79</v>
      </c>
      <c r="R41" s="45" t="s">
        <v>121</v>
      </c>
      <c r="S41" s="18">
        <v>10</v>
      </c>
      <c r="T41" s="18" t="s">
        <v>70</v>
      </c>
      <c r="U41" s="18" t="s">
        <v>111</v>
      </c>
      <c r="V41" s="18" t="s">
        <v>112</v>
      </c>
      <c r="W41" s="232">
        <v>56564320</v>
      </c>
      <c r="X41" s="232">
        <v>56564320</v>
      </c>
      <c r="Y41" s="22" t="s">
        <v>50</v>
      </c>
      <c r="Z41" s="22" t="s">
        <v>50</v>
      </c>
      <c r="AA41" s="18" t="s">
        <v>190</v>
      </c>
      <c r="AB41" s="22" t="s">
        <v>52</v>
      </c>
      <c r="AC41" s="18" t="s">
        <v>191</v>
      </c>
      <c r="AD41" s="18">
        <v>6017431444</v>
      </c>
      <c r="AE41" s="18" t="s">
        <v>192</v>
      </c>
      <c r="AF41" s="18" t="s">
        <v>50</v>
      </c>
      <c r="AG41" s="22" t="s">
        <v>50</v>
      </c>
      <c r="AH41" s="22" t="s">
        <v>50</v>
      </c>
      <c r="AI41" s="268" t="s">
        <v>55</v>
      </c>
      <c r="AJ41" s="278" t="s">
        <v>55</v>
      </c>
      <c r="AK41" s="47" t="s">
        <v>50</v>
      </c>
      <c r="AL41" s="49" t="s">
        <v>50</v>
      </c>
      <c r="AM41" s="33"/>
      <c r="AN41" s="72"/>
      <c r="AO41" s="71">
        <f t="shared" si="0"/>
        <v>56564320</v>
      </c>
      <c r="AP41" s="49" t="s">
        <v>624</v>
      </c>
      <c r="AQ41" s="280">
        <f>VLOOKUP(AP41,[1]Hoja2!$B:$W,18,0)</f>
        <v>45842</v>
      </c>
    </row>
    <row r="42" spans="1:43" s="41" customFormat="1" ht="85.5" x14ac:dyDescent="0.25">
      <c r="A42" s="32">
        <v>39</v>
      </c>
      <c r="B42" s="32" t="s">
        <v>186</v>
      </c>
      <c r="C42" s="32" t="s">
        <v>196</v>
      </c>
      <c r="D42" s="32" t="s">
        <v>205</v>
      </c>
      <c r="E42" s="32" t="s">
        <v>206</v>
      </c>
      <c r="F42" s="32" t="s">
        <v>40</v>
      </c>
      <c r="G42" s="32" t="s">
        <v>106</v>
      </c>
      <c r="H42" s="32" t="s">
        <v>207</v>
      </c>
      <c r="I42" s="32" t="s">
        <v>208</v>
      </c>
      <c r="J42" s="32" t="s">
        <v>208</v>
      </c>
      <c r="K42" s="32" t="s">
        <v>190</v>
      </c>
      <c r="L42" s="32">
        <v>210</v>
      </c>
      <c r="M42" s="32" t="s">
        <v>190</v>
      </c>
      <c r="N42" s="17">
        <v>86564320</v>
      </c>
      <c r="O42" s="45" t="s">
        <v>209</v>
      </c>
      <c r="P42" s="13" t="s">
        <v>210</v>
      </c>
      <c r="Q42" s="18" t="s">
        <v>59</v>
      </c>
      <c r="R42" s="18" t="s">
        <v>87</v>
      </c>
      <c r="S42" s="18">
        <v>10</v>
      </c>
      <c r="T42" s="18" t="s">
        <v>70</v>
      </c>
      <c r="U42" s="18" t="s">
        <v>111</v>
      </c>
      <c r="V42" s="18" t="s">
        <v>112</v>
      </c>
      <c r="W42" s="232">
        <v>20000000</v>
      </c>
      <c r="X42" s="232">
        <v>20000000</v>
      </c>
      <c r="Y42" s="22" t="s">
        <v>50</v>
      </c>
      <c r="Z42" s="22" t="s">
        <v>100</v>
      </c>
      <c r="AA42" s="18" t="s">
        <v>190</v>
      </c>
      <c r="AB42" s="22" t="s">
        <v>52</v>
      </c>
      <c r="AC42" s="18" t="s">
        <v>191</v>
      </c>
      <c r="AD42" s="18">
        <v>6017431444</v>
      </c>
      <c r="AE42" s="18" t="s">
        <v>211</v>
      </c>
      <c r="AF42" s="22" t="s">
        <v>50</v>
      </c>
      <c r="AG42" s="22" t="s">
        <v>50</v>
      </c>
      <c r="AH42" s="22" t="s">
        <v>50</v>
      </c>
      <c r="AI42" s="266" t="s">
        <v>55</v>
      </c>
      <c r="AJ42" s="278" t="s">
        <v>55</v>
      </c>
      <c r="AK42" s="47" t="s">
        <v>50</v>
      </c>
      <c r="AL42" s="49" t="s">
        <v>50</v>
      </c>
      <c r="AM42" s="33"/>
      <c r="AN42" s="72"/>
      <c r="AO42" s="71">
        <f t="shared" si="0"/>
        <v>20000000</v>
      </c>
      <c r="AP42" s="49" t="s">
        <v>50</v>
      </c>
      <c r="AQ42" s="280"/>
    </row>
    <row r="43" spans="1:43" s="41" customFormat="1" ht="57" x14ac:dyDescent="0.25">
      <c r="A43" s="32">
        <v>40</v>
      </c>
      <c r="B43" s="32" t="s">
        <v>186</v>
      </c>
      <c r="C43" s="32" t="s">
        <v>196</v>
      </c>
      <c r="D43" s="32" t="s">
        <v>212</v>
      </c>
      <c r="E43" s="32" t="s">
        <v>213</v>
      </c>
      <c r="F43" s="32" t="s">
        <v>40</v>
      </c>
      <c r="G43" s="32" t="s">
        <v>106</v>
      </c>
      <c r="H43" s="32" t="s">
        <v>214</v>
      </c>
      <c r="I43" s="32" t="s">
        <v>215</v>
      </c>
      <c r="J43" s="32" t="s">
        <v>215</v>
      </c>
      <c r="K43" s="32" t="s">
        <v>190</v>
      </c>
      <c r="L43" s="32">
        <v>210</v>
      </c>
      <c r="M43" s="32" t="s">
        <v>190</v>
      </c>
      <c r="N43" s="17">
        <v>108327560</v>
      </c>
      <c r="O43" s="18" t="s">
        <v>216</v>
      </c>
      <c r="P43" s="13" t="s">
        <v>217</v>
      </c>
      <c r="Q43" s="13" t="s">
        <v>59</v>
      </c>
      <c r="R43" s="18" t="s">
        <v>87</v>
      </c>
      <c r="S43" s="18">
        <v>9</v>
      </c>
      <c r="T43" s="18" t="s">
        <v>70</v>
      </c>
      <c r="U43" s="18" t="s">
        <v>131</v>
      </c>
      <c r="V43" s="18" t="s">
        <v>112</v>
      </c>
      <c r="W43" s="232">
        <v>108327560</v>
      </c>
      <c r="X43" s="232">
        <v>108327560</v>
      </c>
      <c r="Y43" s="22" t="s">
        <v>50</v>
      </c>
      <c r="Z43" s="22" t="s">
        <v>50</v>
      </c>
      <c r="AA43" s="18" t="s">
        <v>190</v>
      </c>
      <c r="AB43" s="22" t="s">
        <v>52</v>
      </c>
      <c r="AC43" s="18" t="s">
        <v>191</v>
      </c>
      <c r="AD43" s="18">
        <v>6017431444</v>
      </c>
      <c r="AE43" s="18" t="s">
        <v>192</v>
      </c>
      <c r="AF43" s="18" t="s">
        <v>50</v>
      </c>
      <c r="AG43" s="22" t="s">
        <v>50</v>
      </c>
      <c r="AH43" s="22" t="s">
        <v>50</v>
      </c>
      <c r="AI43" s="268" t="s">
        <v>55</v>
      </c>
      <c r="AJ43" s="278" t="s">
        <v>55</v>
      </c>
      <c r="AK43" s="47" t="s">
        <v>55</v>
      </c>
      <c r="AL43" s="49" t="s">
        <v>50</v>
      </c>
      <c r="AM43" s="33"/>
      <c r="AN43" s="72"/>
      <c r="AO43" s="71">
        <f t="shared" si="0"/>
        <v>108327560</v>
      </c>
      <c r="AP43" s="49" t="s">
        <v>50</v>
      </c>
      <c r="AQ43" s="280"/>
    </row>
    <row r="44" spans="1:43" ht="57" x14ac:dyDescent="0.25">
      <c r="A44" s="32">
        <v>41</v>
      </c>
      <c r="B44" s="32" t="s">
        <v>186</v>
      </c>
      <c r="C44" s="32" t="s">
        <v>196</v>
      </c>
      <c r="D44" s="32" t="s">
        <v>218</v>
      </c>
      <c r="E44" s="32" t="s">
        <v>219</v>
      </c>
      <c r="F44" s="32" t="s">
        <v>40</v>
      </c>
      <c r="G44" s="32" t="s">
        <v>106</v>
      </c>
      <c r="H44" s="32" t="s">
        <v>220</v>
      </c>
      <c r="I44" s="32" t="s">
        <v>221</v>
      </c>
      <c r="J44" s="32" t="s">
        <v>221</v>
      </c>
      <c r="K44" s="32" t="s">
        <v>190</v>
      </c>
      <c r="L44" s="32">
        <v>210</v>
      </c>
      <c r="M44" s="32" t="s">
        <v>190</v>
      </c>
      <c r="N44" s="17">
        <f>500000000+300000000</f>
        <v>800000000</v>
      </c>
      <c r="O44" s="6" t="s">
        <v>222</v>
      </c>
      <c r="P44" s="6" t="s">
        <v>223</v>
      </c>
      <c r="Q44" s="11" t="s">
        <v>224</v>
      </c>
      <c r="R44" s="6" t="s">
        <v>225</v>
      </c>
      <c r="S44" s="6">
        <v>12</v>
      </c>
      <c r="T44" s="6" t="s">
        <v>70</v>
      </c>
      <c r="U44" s="7" t="s">
        <v>157</v>
      </c>
      <c r="V44" s="6" t="s">
        <v>112</v>
      </c>
      <c r="W44" s="231">
        <v>800000000</v>
      </c>
      <c r="X44" s="231">
        <v>800000000</v>
      </c>
      <c r="Y44" s="7" t="s">
        <v>50</v>
      </c>
      <c r="Z44" s="7" t="s">
        <v>50</v>
      </c>
      <c r="AA44" s="6" t="s">
        <v>190</v>
      </c>
      <c r="AB44" s="7" t="s">
        <v>52</v>
      </c>
      <c r="AC44" s="6" t="s">
        <v>191</v>
      </c>
      <c r="AD44" s="6">
        <v>6017431444</v>
      </c>
      <c r="AE44" s="6" t="s">
        <v>192</v>
      </c>
      <c r="AF44" s="6" t="s">
        <v>50</v>
      </c>
      <c r="AG44" s="7" t="s">
        <v>50</v>
      </c>
      <c r="AH44" s="7" t="s">
        <v>50</v>
      </c>
      <c r="AI44" s="267" t="s">
        <v>55</v>
      </c>
      <c r="AJ44" s="278" t="s">
        <v>55</v>
      </c>
      <c r="AK44" s="47" t="s">
        <v>50</v>
      </c>
      <c r="AL44" s="49" t="s">
        <v>50</v>
      </c>
      <c r="AM44" s="48"/>
      <c r="AN44" s="71"/>
      <c r="AO44" s="71">
        <f t="shared" si="0"/>
        <v>800000000</v>
      </c>
      <c r="AP44" s="49" t="s">
        <v>625</v>
      </c>
      <c r="AQ44" s="280">
        <f>VLOOKUP(AP44,[1]Hoja2!$B:$W,18,0)</f>
        <v>45905</v>
      </c>
    </row>
    <row r="45" spans="1:43" ht="71.25" x14ac:dyDescent="0.25">
      <c r="A45" s="32">
        <v>42</v>
      </c>
      <c r="B45" s="32" t="s">
        <v>36</v>
      </c>
      <c r="C45" s="32" t="s">
        <v>56</v>
      </c>
      <c r="D45" s="32" t="s">
        <v>226</v>
      </c>
      <c r="E45" s="32" t="s">
        <v>227</v>
      </c>
      <c r="F45" s="32" t="s">
        <v>40</v>
      </c>
      <c r="G45" s="32" t="s">
        <v>106</v>
      </c>
      <c r="H45" s="32" t="s">
        <v>228</v>
      </c>
      <c r="I45" s="32" t="s">
        <v>229</v>
      </c>
      <c r="J45" s="32" t="s">
        <v>229</v>
      </c>
      <c r="K45" s="32" t="s">
        <v>190</v>
      </c>
      <c r="L45" s="32">
        <v>210</v>
      </c>
      <c r="M45" s="32" t="s">
        <v>190</v>
      </c>
      <c r="N45" s="17">
        <v>5000000</v>
      </c>
      <c r="O45" s="12">
        <v>84111506</v>
      </c>
      <c r="P45" s="13" t="s">
        <v>230</v>
      </c>
      <c r="Q45" s="11" t="s">
        <v>231</v>
      </c>
      <c r="R45" s="6" t="s">
        <v>231</v>
      </c>
      <c r="S45" s="6">
        <v>9</v>
      </c>
      <c r="T45" s="6" t="s">
        <v>70</v>
      </c>
      <c r="U45" s="6" t="s">
        <v>111</v>
      </c>
      <c r="V45" s="6" t="s">
        <v>112</v>
      </c>
      <c r="W45" s="231">
        <v>5000000</v>
      </c>
      <c r="X45" s="231">
        <v>5000000</v>
      </c>
      <c r="Y45" s="7" t="s">
        <v>50</v>
      </c>
      <c r="Z45" s="7" t="s">
        <v>50</v>
      </c>
      <c r="AA45" s="6" t="s">
        <v>190</v>
      </c>
      <c r="AB45" s="7" t="s">
        <v>52</v>
      </c>
      <c r="AC45" s="6" t="s">
        <v>191</v>
      </c>
      <c r="AD45" s="6">
        <v>6017431444</v>
      </c>
      <c r="AE45" s="6" t="s">
        <v>211</v>
      </c>
      <c r="AF45" s="7" t="s">
        <v>50</v>
      </c>
      <c r="AG45" s="7" t="s">
        <v>50</v>
      </c>
      <c r="AH45" s="7" t="s">
        <v>50</v>
      </c>
      <c r="AI45" s="265" t="s">
        <v>55</v>
      </c>
      <c r="AJ45" s="278" t="s">
        <v>55</v>
      </c>
      <c r="AK45" s="47" t="s">
        <v>50</v>
      </c>
      <c r="AL45" s="49" t="s">
        <v>50</v>
      </c>
      <c r="AM45" s="48"/>
      <c r="AN45" s="71"/>
      <c r="AO45" s="71">
        <f t="shared" si="0"/>
        <v>5000000</v>
      </c>
      <c r="AP45" s="49" t="s">
        <v>626</v>
      </c>
      <c r="AQ45" s="280">
        <f>VLOOKUP(AP45,[1]Hoja2!$B:$W,18,0)</f>
        <v>46010</v>
      </c>
    </row>
    <row r="46" spans="1:43" s="41" customFormat="1" ht="57" x14ac:dyDescent="0.25">
      <c r="A46" s="32">
        <v>43</v>
      </c>
      <c r="B46" s="32" t="s">
        <v>186</v>
      </c>
      <c r="C46" s="32" t="s">
        <v>196</v>
      </c>
      <c r="D46" s="32" t="s">
        <v>232</v>
      </c>
      <c r="E46" s="32" t="s">
        <v>233</v>
      </c>
      <c r="F46" s="32" t="s">
        <v>40</v>
      </c>
      <c r="G46" s="32" t="s">
        <v>106</v>
      </c>
      <c r="H46" s="32" t="s">
        <v>234</v>
      </c>
      <c r="I46" s="32" t="s">
        <v>235</v>
      </c>
      <c r="J46" s="32" t="s">
        <v>235</v>
      </c>
      <c r="K46" s="32" t="s">
        <v>190</v>
      </c>
      <c r="L46" s="32">
        <v>210</v>
      </c>
      <c r="M46" s="32" t="s">
        <v>190</v>
      </c>
      <c r="N46" s="17">
        <v>307010732</v>
      </c>
      <c r="O46" s="23">
        <v>92121700</v>
      </c>
      <c r="P46" s="13" t="s">
        <v>236</v>
      </c>
      <c r="Q46" s="18" t="s">
        <v>59</v>
      </c>
      <c r="R46" s="18" t="s">
        <v>87</v>
      </c>
      <c r="S46" s="18">
        <v>8</v>
      </c>
      <c r="T46" s="18" t="s">
        <v>70</v>
      </c>
      <c r="U46" s="18" t="s">
        <v>48</v>
      </c>
      <c r="V46" s="18" t="s">
        <v>112</v>
      </c>
      <c r="W46" s="232">
        <v>534358230</v>
      </c>
      <c r="X46" s="232">
        <v>352909336</v>
      </c>
      <c r="Y46" s="22" t="s">
        <v>50</v>
      </c>
      <c r="Z46" s="22" t="s">
        <v>50</v>
      </c>
      <c r="AA46" s="18" t="s">
        <v>190</v>
      </c>
      <c r="AB46" s="22" t="s">
        <v>52</v>
      </c>
      <c r="AC46" s="18" t="s">
        <v>191</v>
      </c>
      <c r="AD46" s="18">
        <v>6017431444</v>
      </c>
      <c r="AE46" s="18" t="s">
        <v>211</v>
      </c>
      <c r="AF46" s="22" t="s">
        <v>50</v>
      </c>
      <c r="AG46" s="22" t="s">
        <v>50</v>
      </c>
      <c r="AH46" s="22" t="s">
        <v>50</v>
      </c>
      <c r="AI46" s="266" t="s">
        <v>55</v>
      </c>
      <c r="AJ46" s="278" t="s">
        <v>55</v>
      </c>
      <c r="AK46" s="49" t="s">
        <v>55</v>
      </c>
      <c r="AL46" s="49" t="s">
        <v>55</v>
      </c>
      <c r="AM46" s="33" t="s">
        <v>617</v>
      </c>
      <c r="AN46" s="72">
        <v>534358230</v>
      </c>
      <c r="AO46" s="71">
        <f t="shared" si="0"/>
        <v>0</v>
      </c>
      <c r="AP46" s="49" t="s">
        <v>55</v>
      </c>
      <c r="AQ46" s="280" t="s">
        <v>617</v>
      </c>
    </row>
    <row r="47" spans="1:43" ht="99.75" x14ac:dyDescent="0.25">
      <c r="A47" s="32">
        <v>44</v>
      </c>
      <c r="B47" s="32" t="s">
        <v>186</v>
      </c>
      <c r="C47" s="32" t="s">
        <v>196</v>
      </c>
      <c r="D47" s="32" t="s">
        <v>237</v>
      </c>
      <c r="E47" s="32" t="s">
        <v>238</v>
      </c>
      <c r="F47" s="32" t="s">
        <v>40</v>
      </c>
      <c r="G47" s="32" t="s">
        <v>64</v>
      </c>
      <c r="H47" s="32" t="s">
        <v>65</v>
      </c>
      <c r="I47" s="32" t="s">
        <v>182</v>
      </c>
      <c r="J47" s="32" t="s">
        <v>239</v>
      </c>
      <c r="K47" s="32" t="s">
        <v>190</v>
      </c>
      <c r="L47" s="32">
        <v>210</v>
      </c>
      <c r="M47" s="32" t="s">
        <v>190</v>
      </c>
      <c r="N47" s="17">
        <v>160000000</v>
      </c>
      <c r="O47" s="5">
        <v>80111600</v>
      </c>
      <c r="P47" s="11" t="s">
        <v>240</v>
      </c>
      <c r="Q47" s="11" t="s">
        <v>59</v>
      </c>
      <c r="R47" s="6" t="s">
        <v>59</v>
      </c>
      <c r="S47" s="6">
        <v>6</v>
      </c>
      <c r="T47" s="6" t="s">
        <v>70</v>
      </c>
      <c r="U47" s="6" t="s">
        <v>48</v>
      </c>
      <c r="V47" s="7" t="s">
        <v>112</v>
      </c>
      <c r="W47" s="231">
        <v>50000000</v>
      </c>
      <c r="X47" s="231">
        <v>50000000</v>
      </c>
      <c r="Y47" s="7" t="s">
        <v>50</v>
      </c>
      <c r="Z47" s="7" t="s">
        <v>50</v>
      </c>
      <c r="AA47" s="6" t="s">
        <v>190</v>
      </c>
      <c r="AB47" s="7" t="s">
        <v>52</v>
      </c>
      <c r="AC47" s="6" t="s">
        <v>191</v>
      </c>
      <c r="AD47" s="6">
        <v>6017431444</v>
      </c>
      <c r="AE47" s="6" t="s">
        <v>192</v>
      </c>
      <c r="AF47" s="6" t="s">
        <v>50</v>
      </c>
      <c r="AG47" s="7" t="s">
        <v>50</v>
      </c>
      <c r="AH47" s="7" t="s">
        <v>50</v>
      </c>
      <c r="AI47" s="267" t="s">
        <v>55</v>
      </c>
      <c r="AJ47" s="278" t="s">
        <v>55</v>
      </c>
      <c r="AK47" s="47" t="s">
        <v>55</v>
      </c>
      <c r="AL47" s="49" t="s">
        <v>55</v>
      </c>
      <c r="AM47" s="48" t="s">
        <v>606</v>
      </c>
      <c r="AN47" s="71">
        <v>45000000</v>
      </c>
      <c r="AO47" s="71">
        <f t="shared" si="0"/>
        <v>5000000</v>
      </c>
      <c r="AP47" s="49" t="s">
        <v>606</v>
      </c>
      <c r="AQ47" s="280">
        <f>VLOOKUP(AM47,[1]Hoja2!$B:$W,18,0)</f>
        <v>45959</v>
      </c>
    </row>
    <row r="48" spans="1:43" ht="99.75" x14ac:dyDescent="0.25">
      <c r="A48" s="32">
        <v>45</v>
      </c>
      <c r="B48" s="32" t="s">
        <v>186</v>
      </c>
      <c r="C48" s="32" t="s">
        <v>196</v>
      </c>
      <c r="D48" s="32" t="s">
        <v>237</v>
      </c>
      <c r="E48" s="32" t="s">
        <v>238</v>
      </c>
      <c r="F48" s="32" t="s">
        <v>40</v>
      </c>
      <c r="G48" s="32" t="s">
        <v>64</v>
      </c>
      <c r="H48" s="32" t="s">
        <v>65</v>
      </c>
      <c r="I48" s="32" t="s">
        <v>182</v>
      </c>
      <c r="J48" s="32" t="s">
        <v>239</v>
      </c>
      <c r="K48" s="32" t="s">
        <v>190</v>
      </c>
      <c r="L48" s="32">
        <v>210</v>
      </c>
      <c r="M48" s="32" t="s">
        <v>190</v>
      </c>
      <c r="N48" s="17">
        <v>160000000</v>
      </c>
      <c r="O48" s="5">
        <v>80111600</v>
      </c>
      <c r="P48" s="11" t="s">
        <v>241</v>
      </c>
      <c r="Q48" s="11" t="s">
        <v>59</v>
      </c>
      <c r="R48" s="6" t="s">
        <v>59</v>
      </c>
      <c r="S48" s="6">
        <v>6</v>
      </c>
      <c r="T48" s="6" t="s">
        <v>70</v>
      </c>
      <c r="U48" s="6" t="s">
        <v>48</v>
      </c>
      <c r="V48" s="7" t="s">
        <v>112</v>
      </c>
      <c r="W48" s="231">
        <v>50000000</v>
      </c>
      <c r="X48" s="231">
        <v>50000000</v>
      </c>
      <c r="Y48" s="7" t="s">
        <v>50</v>
      </c>
      <c r="Z48" s="7" t="s">
        <v>50</v>
      </c>
      <c r="AA48" s="6" t="s">
        <v>190</v>
      </c>
      <c r="AB48" s="7" t="s">
        <v>52</v>
      </c>
      <c r="AC48" s="6" t="s">
        <v>191</v>
      </c>
      <c r="AD48" s="6">
        <v>6017431444</v>
      </c>
      <c r="AE48" s="6" t="s">
        <v>192</v>
      </c>
      <c r="AF48" s="6" t="s">
        <v>50</v>
      </c>
      <c r="AG48" s="7" t="s">
        <v>50</v>
      </c>
      <c r="AH48" s="7" t="s">
        <v>50</v>
      </c>
      <c r="AI48" s="267" t="s">
        <v>55</v>
      </c>
      <c r="AJ48" s="278" t="s">
        <v>55</v>
      </c>
      <c r="AK48" s="47" t="s">
        <v>50</v>
      </c>
      <c r="AL48" s="49" t="s">
        <v>50</v>
      </c>
      <c r="AM48" s="48"/>
      <c r="AN48" s="71"/>
      <c r="AO48" s="71">
        <f t="shared" si="0"/>
        <v>50000000</v>
      </c>
      <c r="AP48" s="49" t="s">
        <v>50</v>
      </c>
      <c r="AQ48" s="280"/>
    </row>
    <row r="49" spans="1:43" s="41" customFormat="1" ht="99.75" x14ac:dyDescent="0.25">
      <c r="A49" s="32">
        <v>46</v>
      </c>
      <c r="B49" s="32" t="s">
        <v>36</v>
      </c>
      <c r="C49" s="32" t="s">
        <v>37</v>
      </c>
      <c r="D49" s="32" t="s">
        <v>237</v>
      </c>
      <c r="E49" s="32" t="s">
        <v>457</v>
      </c>
      <c r="F49" s="32" t="s">
        <v>40</v>
      </c>
      <c r="G49" s="32" t="s">
        <v>64</v>
      </c>
      <c r="H49" s="32" t="s">
        <v>65</v>
      </c>
      <c r="I49" s="32" t="s">
        <v>182</v>
      </c>
      <c r="J49" s="32" t="s">
        <v>239</v>
      </c>
      <c r="K49" s="32" t="s">
        <v>190</v>
      </c>
      <c r="L49" s="32">
        <v>210</v>
      </c>
      <c r="M49" s="32" t="s">
        <v>190</v>
      </c>
      <c r="N49" s="17">
        <v>160000000</v>
      </c>
      <c r="O49" s="23">
        <v>80111600</v>
      </c>
      <c r="P49" s="13" t="s">
        <v>451</v>
      </c>
      <c r="Q49" s="13" t="s">
        <v>59</v>
      </c>
      <c r="R49" s="18" t="s">
        <v>59</v>
      </c>
      <c r="S49" s="18">
        <v>6</v>
      </c>
      <c r="T49" s="18" t="s">
        <v>70</v>
      </c>
      <c r="U49" s="18" t="s">
        <v>48</v>
      </c>
      <c r="V49" s="22" t="s">
        <v>112</v>
      </c>
      <c r="W49" s="232">
        <v>54600000</v>
      </c>
      <c r="X49" s="232">
        <v>54600000</v>
      </c>
      <c r="Y49" s="22" t="s">
        <v>50</v>
      </c>
      <c r="Z49" s="22" t="s">
        <v>50</v>
      </c>
      <c r="AA49" s="18" t="s">
        <v>190</v>
      </c>
      <c r="AB49" s="22" t="s">
        <v>52</v>
      </c>
      <c r="AC49" s="18" t="s">
        <v>191</v>
      </c>
      <c r="AD49" s="18">
        <v>6017431444</v>
      </c>
      <c r="AE49" s="18" t="s">
        <v>192</v>
      </c>
      <c r="AF49" s="18" t="s">
        <v>50</v>
      </c>
      <c r="AG49" s="22" t="s">
        <v>50</v>
      </c>
      <c r="AH49" s="22" t="s">
        <v>50</v>
      </c>
      <c r="AI49" s="268" t="s">
        <v>55</v>
      </c>
      <c r="AJ49" s="278" t="s">
        <v>55</v>
      </c>
      <c r="AK49" s="49" t="s">
        <v>55</v>
      </c>
      <c r="AL49" s="49" t="s">
        <v>55</v>
      </c>
      <c r="AM49" s="33" t="s">
        <v>479</v>
      </c>
      <c r="AN49" s="72">
        <v>54600000</v>
      </c>
      <c r="AO49" s="71">
        <f t="shared" si="0"/>
        <v>0</v>
      </c>
      <c r="AP49" s="49" t="s">
        <v>479</v>
      </c>
      <c r="AQ49" s="280">
        <f>VLOOKUP(AM49,[1]Hoja2!$B:$W,18,0)</f>
        <v>45887</v>
      </c>
    </row>
    <row r="50" spans="1:43" s="41" customFormat="1" ht="71.25" x14ac:dyDescent="0.25">
      <c r="A50" s="32">
        <v>47</v>
      </c>
      <c r="B50" s="32" t="s">
        <v>36</v>
      </c>
      <c r="C50" s="32" t="s">
        <v>56</v>
      </c>
      <c r="D50" s="32" t="s">
        <v>458</v>
      </c>
      <c r="E50" s="32" t="s">
        <v>459</v>
      </c>
      <c r="F50" s="32" t="s">
        <v>40</v>
      </c>
      <c r="G50" s="32" t="s">
        <v>106</v>
      </c>
      <c r="H50" s="32" t="s">
        <v>460</v>
      </c>
      <c r="I50" s="32" t="s">
        <v>461</v>
      </c>
      <c r="J50" s="32" t="s">
        <v>461</v>
      </c>
      <c r="K50" s="32" t="s">
        <v>190</v>
      </c>
      <c r="L50" s="32">
        <v>210</v>
      </c>
      <c r="M50" s="32" t="s">
        <v>190</v>
      </c>
      <c r="N50" s="17">
        <v>17023552</v>
      </c>
      <c r="O50" s="24" t="s">
        <v>462</v>
      </c>
      <c r="P50" s="13" t="s">
        <v>463</v>
      </c>
      <c r="Q50" s="13" t="s">
        <v>59</v>
      </c>
      <c r="R50" s="18" t="s">
        <v>59</v>
      </c>
      <c r="S50" s="18">
        <v>3</v>
      </c>
      <c r="T50" s="18" t="s">
        <v>70</v>
      </c>
      <c r="U50" s="18" t="s">
        <v>61</v>
      </c>
      <c r="V50" s="18" t="s">
        <v>112</v>
      </c>
      <c r="W50" s="232">
        <v>14395000</v>
      </c>
      <c r="X50" s="232">
        <v>14395000</v>
      </c>
      <c r="Y50" s="22" t="s">
        <v>50</v>
      </c>
      <c r="Z50" s="22" t="s">
        <v>50</v>
      </c>
      <c r="AA50" s="18" t="s">
        <v>190</v>
      </c>
      <c r="AB50" s="22" t="s">
        <v>52</v>
      </c>
      <c r="AC50" s="18" t="s">
        <v>191</v>
      </c>
      <c r="AD50" s="18">
        <v>6017431444</v>
      </c>
      <c r="AE50" s="18" t="s">
        <v>211</v>
      </c>
      <c r="AF50" s="22" t="s">
        <v>50</v>
      </c>
      <c r="AG50" s="22" t="s">
        <v>50</v>
      </c>
      <c r="AH50" s="22" t="s">
        <v>50</v>
      </c>
      <c r="AI50" s="266" t="s">
        <v>55</v>
      </c>
      <c r="AJ50" s="278" t="s">
        <v>55</v>
      </c>
      <c r="AK50" s="47" t="s">
        <v>50</v>
      </c>
      <c r="AL50" s="49" t="s">
        <v>50</v>
      </c>
      <c r="AM50" s="33"/>
      <c r="AN50" s="72"/>
      <c r="AO50" s="71">
        <f t="shared" si="0"/>
        <v>14395000</v>
      </c>
      <c r="AP50" s="49" t="s">
        <v>627</v>
      </c>
      <c r="AQ50" s="280">
        <f>VLOOKUP(AP50,[1]Hoja2!$B:$W,18,0)</f>
        <v>46683</v>
      </c>
    </row>
    <row r="51" spans="1:43" ht="85.5" x14ac:dyDescent="0.25">
      <c r="A51" s="32">
        <v>48</v>
      </c>
      <c r="B51" s="32" t="s">
        <v>242</v>
      </c>
      <c r="C51" s="32" t="s">
        <v>37</v>
      </c>
      <c r="D51" s="32" t="s">
        <v>243</v>
      </c>
      <c r="E51" s="32" t="s">
        <v>244</v>
      </c>
      <c r="F51" s="32" t="s">
        <v>40</v>
      </c>
      <c r="G51" s="32" t="s">
        <v>64</v>
      </c>
      <c r="H51" s="32" t="s">
        <v>65</v>
      </c>
      <c r="I51" s="32" t="s">
        <v>66</v>
      </c>
      <c r="J51" s="32" t="s">
        <v>66</v>
      </c>
      <c r="K51" s="32" t="s">
        <v>245</v>
      </c>
      <c r="L51" s="32">
        <v>220</v>
      </c>
      <c r="M51" s="32" t="s">
        <v>245</v>
      </c>
      <c r="N51" s="17">
        <v>177000000</v>
      </c>
      <c r="O51" s="5">
        <v>80111600</v>
      </c>
      <c r="P51" s="11" t="s">
        <v>246</v>
      </c>
      <c r="Q51" s="11" t="s">
        <v>59</v>
      </c>
      <c r="R51" s="6" t="s">
        <v>59</v>
      </c>
      <c r="S51" s="7">
        <v>1</v>
      </c>
      <c r="T51" s="7" t="s">
        <v>122</v>
      </c>
      <c r="U51" s="6" t="s">
        <v>48</v>
      </c>
      <c r="V51" s="7" t="s">
        <v>71</v>
      </c>
      <c r="W51" s="233">
        <v>106000000</v>
      </c>
      <c r="X51" s="233">
        <v>106000000</v>
      </c>
      <c r="Y51" s="7" t="s">
        <v>55</v>
      </c>
      <c r="Z51" s="7" t="s">
        <v>247</v>
      </c>
      <c r="AA51" s="7" t="s">
        <v>248</v>
      </c>
      <c r="AB51" s="7" t="s">
        <v>52</v>
      </c>
      <c r="AC51" s="7" t="s">
        <v>249</v>
      </c>
      <c r="AD51" s="7" t="s">
        <v>250</v>
      </c>
      <c r="AE51" s="10" t="s">
        <v>251</v>
      </c>
      <c r="AF51" s="7" t="s">
        <v>50</v>
      </c>
      <c r="AG51" s="7" t="s">
        <v>50</v>
      </c>
      <c r="AH51" s="7" t="s">
        <v>50</v>
      </c>
      <c r="AI51" s="267" t="s">
        <v>55</v>
      </c>
      <c r="AJ51" s="278" t="s">
        <v>55</v>
      </c>
      <c r="AK51" s="47" t="s">
        <v>50</v>
      </c>
      <c r="AL51" s="49" t="s">
        <v>50</v>
      </c>
      <c r="AM51" s="48"/>
      <c r="AN51" s="71"/>
      <c r="AO51" s="71">
        <f t="shared" si="0"/>
        <v>106000000</v>
      </c>
      <c r="AP51" s="49" t="s">
        <v>50</v>
      </c>
      <c r="AQ51" s="280"/>
    </row>
    <row r="52" spans="1:43" ht="85.5" x14ac:dyDescent="0.25">
      <c r="A52" s="32">
        <v>49</v>
      </c>
      <c r="B52" s="32" t="s">
        <v>36</v>
      </c>
      <c r="C52" s="32" t="s">
        <v>37</v>
      </c>
      <c r="D52" s="32" t="s">
        <v>252</v>
      </c>
      <c r="E52" s="32" t="s">
        <v>253</v>
      </c>
      <c r="F52" s="32" t="s">
        <v>40</v>
      </c>
      <c r="G52" s="32" t="s">
        <v>64</v>
      </c>
      <c r="H52" s="32" t="s">
        <v>65</v>
      </c>
      <c r="I52" s="32" t="s">
        <v>182</v>
      </c>
      <c r="J52" s="32" t="s">
        <v>182</v>
      </c>
      <c r="K52" s="32" t="s">
        <v>245</v>
      </c>
      <c r="L52" s="32">
        <v>220</v>
      </c>
      <c r="M52" s="32" t="s">
        <v>245</v>
      </c>
      <c r="N52" s="17">
        <v>10425000</v>
      </c>
      <c r="O52" s="5">
        <v>80111600</v>
      </c>
      <c r="P52" s="11" t="s">
        <v>254</v>
      </c>
      <c r="Q52" s="5" t="s">
        <v>224</v>
      </c>
      <c r="R52" s="7" t="s">
        <v>225</v>
      </c>
      <c r="S52" s="7">
        <v>1</v>
      </c>
      <c r="T52" s="7" t="s">
        <v>122</v>
      </c>
      <c r="U52" s="6" t="s">
        <v>48</v>
      </c>
      <c r="V52" s="7" t="s">
        <v>112</v>
      </c>
      <c r="W52" s="233">
        <v>237857192</v>
      </c>
      <c r="X52" s="233">
        <v>59464300</v>
      </c>
      <c r="Y52" s="7" t="s">
        <v>55</v>
      </c>
      <c r="Z52" s="7" t="s">
        <v>247</v>
      </c>
      <c r="AA52" s="7" t="s">
        <v>248</v>
      </c>
      <c r="AB52" s="7" t="s">
        <v>52</v>
      </c>
      <c r="AC52" s="7" t="s">
        <v>249</v>
      </c>
      <c r="AD52" s="7" t="s">
        <v>250</v>
      </c>
      <c r="AE52" s="10" t="s">
        <v>251</v>
      </c>
      <c r="AF52" s="7" t="s">
        <v>50</v>
      </c>
      <c r="AG52" s="7" t="s">
        <v>50</v>
      </c>
      <c r="AH52" s="7" t="s">
        <v>50</v>
      </c>
      <c r="AI52" s="267" t="s">
        <v>55</v>
      </c>
      <c r="AJ52" s="278" t="s">
        <v>55</v>
      </c>
      <c r="AK52" s="47" t="s">
        <v>50</v>
      </c>
      <c r="AL52" s="49" t="s">
        <v>50</v>
      </c>
      <c r="AM52" s="48"/>
      <c r="AN52" s="71"/>
      <c r="AO52" s="71">
        <f t="shared" si="0"/>
        <v>237857192</v>
      </c>
      <c r="AP52" s="49" t="s">
        <v>628</v>
      </c>
      <c r="AQ52" s="280">
        <f>VLOOKUP(AP52,[1]Hoja2!$B:$W,18,0)</f>
        <v>45957</v>
      </c>
    </row>
    <row r="53" spans="1:43" ht="71.25" x14ac:dyDescent="0.25">
      <c r="A53" s="32">
        <v>50</v>
      </c>
      <c r="B53" s="32" t="s">
        <v>242</v>
      </c>
      <c r="C53" s="32" t="s">
        <v>255</v>
      </c>
      <c r="D53" s="32" t="s">
        <v>256</v>
      </c>
      <c r="E53" s="32" t="s">
        <v>257</v>
      </c>
      <c r="F53" s="32" t="s">
        <v>40</v>
      </c>
      <c r="G53" s="32" t="s">
        <v>160</v>
      </c>
      <c r="H53" s="32" t="s">
        <v>161</v>
      </c>
      <c r="I53" s="32" t="s">
        <v>258</v>
      </c>
      <c r="J53" s="32" t="s">
        <v>258</v>
      </c>
      <c r="K53" s="32" t="s">
        <v>245</v>
      </c>
      <c r="L53" s="32">
        <v>220</v>
      </c>
      <c r="M53" s="32" t="s">
        <v>245</v>
      </c>
      <c r="N53" s="17">
        <v>2000000000</v>
      </c>
      <c r="O53" s="12">
        <v>80121610</v>
      </c>
      <c r="P53" s="11" t="s">
        <v>259</v>
      </c>
      <c r="Q53" s="11" t="s">
        <v>59</v>
      </c>
      <c r="R53" s="6" t="s">
        <v>59</v>
      </c>
      <c r="S53" s="7">
        <v>19</v>
      </c>
      <c r="T53" s="7" t="s">
        <v>70</v>
      </c>
      <c r="U53" s="7" t="s">
        <v>157</v>
      </c>
      <c r="V53" s="7" t="s">
        <v>71</v>
      </c>
      <c r="W53" s="233">
        <v>2375000000</v>
      </c>
      <c r="X53" s="233">
        <v>1500000000</v>
      </c>
      <c r="Y53" s="8" t="s">
        <v>55</v>
      </c>
      <c r="Z53" s="7" t="s">
        <v>247</v>
      </c>
      <c r="AA53" s="7" t="s">
        <v>248</v>
      </c>
      <c r="AB53" s="7" t="s">
        <v>52</v>
      </c>
      <c r="AC53" s="7" t="s">
        <v>249</v>
      </c>
      <c r="AD53" s="7" t="s">
        <v>250</v>
      </c>
      <c r="AE53" s="7" t="s">
        <v>251</v>
      </c>
      <c r="AF53" s="10" t="s">
        <v>50</v>
      </c>
      <c r="AG53" s="7" t="s">
        <v>50</v>
      </c>
      <c r="AH53" s="7" t="s">
        <v>50</v>
      </c>
      <c r="AI53" s="267" t="s">
        <v>55</v>
      </c>
      <c r="AJ53" s="278" t="s">
        <v>55</v>
      </c>
      <c r="AK53" s="47" t="s">
        <v>55</v>
      </c>
      <c r="AL53" s="49" t="s">
        <v>50</v>
      </c>
      <c r="AM53" s="48"/>
      <c r="AN53" s="71"/>
      <c r="AO53" s="71">
        <f t="shared" si="0"/>
        <v>2375000000</v>
      </c>
      <c r="AP53" s="49" t="s">
        <v>50</v>
      </c>
      <c r="AQ53" s="280"/>
    </row>
    <row r="54" spans="1:43" ht="71.25" x14ac:dyDescent="0.25">
      <c r="A54" s="32">
        <v>51</v>
      </c>
      <c r="B54" s="32" t="s">
        <v>242</v>
      </c>
      <c r="C54" s="32" t="s">
        <v>260</v>
      </c>
      <c r="D54" s="32" t="s">
        <v>261</v>
      </c>
      <c r="E54" s="32" t="s">
        <v>262</v>
      </c>
      <c r="F54" s="32" t="s">
        <v>40</v>
      </c>
      <c r="G54" s="32" t="s">
        <v>106</v>
      </c>
      <c r="H54" s="32" t="s">
        <v>263</v>
      </c>
      <c r="I54" s="32" t="s">
        <v>264</v>
      </c>
      <c r="J54" s="32" t="s">
        <v>264</v>
      </c>
      <c r="K54" s="32" t="s">
        <v>245</v>
      </c>
      <c r="L54" s="32">
        <v>220</v>
      </c>
      <c r="M54" s="32" t="s">
        <v>245</v>
      </c>
      <c r="N54" s="17">
        <v>120250000</v>
      </c>
      <c r="O54" s="12" t="s">
        <v>265</v>
      </c>
      <c r="P54" s="11" t="s">
        <v>266</v>
      </c>
      <c r="Q54" s="11" t="s">
        <v>59</v>
      </c>
      <c r="R54" s="6" t="s">
        <v>59</v>
      </c>
      <c r="S54" s="7">
        <v>12</v>
      </c>
      <c r="T54" s="7" t="s">
        <v>70</v>
      </c>
      <c r="U54" s="6" t="s">
        <v>111</v>
      </c>
      <c r="V54" s="7" t="s">
        <v>112</v>
      </c>
      <c r="W54" s="233">
        <v>600000000</v>
      </c>
      <c r="X54" s="233">
        <v>500000000</v>
      </c>
      <c r="Y54" s="7" t="s">
        <v>55</v>
      </c>
      <c r="Z54" s="7" t="s">
        <v>247</v>
      </c>
      <c r="AA54" s="7" t="s">
        <v>248</v>
      </c>
      <c r="AB54" s="7" t="s">
        <v>52</v>
      </c>
      <c r="AC54" s="7" t="s">
        <v>249</v>
      </c>
      <c r="AD54" s="7" t="s">
        <v>250</v>
      </c>
      <c r="AE54" s="10" t="s">
        <v>251</v>
      </c>
      <c r="AF54" s="7" t="s">
        <v>50</v>
      </c>
      <c r="AG54" s="7" t="s">
        <v>50</v>
      </c>
      <c r="AH54" s="7" t="s">
        <v>50</v>
      </c>
      <c r="AI54" s="267" t="s">
        <v>55</v>
      </c>
      <c r="AJ54" s="278" t="s">
        <v>55</v>
      </c>
      <c r="AK54" s="47" t="s">
        <v>50</v>
      </c>
      <c r="AL54" s="49" t="s">
        <v>50</v>
      </c>
      <c r="AM54" s="48"/>
      <c r="AN54" s="71"/>
      <c r="AO54" s="71">
        <f t="shared" si="0"/>
        <v>600000000</v>
      </c>
      <c r="AP54" s="49" t="s">
        <v>629</v>
      </c>
      <c r="AQ54" s="280">
        <f>VLOOKUP(AP54,[1]Hoja2!$B:$W,18,0)</f>
        <v>46080</v>
      </c>
    </row>
    <row r="55" spans="1:43" ht="85.5" x14ac:dyDescent="0.25">
      <c r="A55" s="32">
        <v>52</v>
      </c>
      <c r="B55" s="32" t="s">
        <v>36</v>
      </c>
      <c r="C55" s="32" t="s">
        <v>37</v>
      </c>
      <c r="D55" s="32" t="s">
        <v>267</v>
      </c>
      <c r="E55" s="32" t="s">
        <v>268</v>
      </c>
      <c r="F55" s="32" t="s">
        <v>40</v>
      </c>
      <c r="G55" s="32" t="s">
        <v>41</v>
      </c>
      <c r="H55" s="32" t="s">
        <v>42</v>
      </c>
      <c r="I55" s="32" t="s">
        <v>43</v>
      </c>
      <c r="J55" s="32" t="s">
        <v>43</v>
      </c>
      <c r="K55" s="32" t="s">
        <v>269</v>
      </c>
      <c r="L55" s="32">
        <v>105</v>
      </c>
      <c r="M55" s="32" t="s">
        <v>269</v>
      </c>
      <c r="N55" s="17">
        <v>72851666</v>
      </c>
      <c r="O55" s="5">
        <v>80111600</v>
      </c>
      <c r="P55" s="11" t="s">
        <v>270</v>
      </c>
      <c r="Q55" s="11" t="s">
        <v>87</v>
      </c>
      <c r="R55" s="11" t="s">
        <v>87</v>
      </c>
      <c r="S55" s="6">
        <v>3</v>
      </c>
      <c r="T55" s="6" t="s">
        <v>70</v>
      </c>
      <c r="U55" s="6" t="s">
        <v>48</v>
      </c>
      <c r="V55" s="6" t="s">
        <v>71</v>
      </c>
      <c r="W55" s="231">
        <v>21345000</v>
      </c>
      <c r="X55" s="231">
        <v>21345000</v>
      </c>
      <c r="Y55" s="7" t="s">
        <v>50</v>
      </c>
      <c r="Z55" s="7" t="s">
        <v>50</v>
      </c>
      <c r="AA55" s="6" t="s">
        <v>269</v>
      </c>
      <c r="AB55" s="7" t="s">
        <v>52</v>
      </c>
      <c r="AC55" s="6" t="s">
        <v>271</v>
      </c>
      <c r="AD55" s="6">
        <v>6017431444</v>
      </c>
      <c r="AE55" s="6" t="s">
        <v>272</v>
      </c>
      <c r="AF55" s="6" t="s">
        <v>50</v>
      </c>
      <c r="AG55" s="7" t="s">
        <v>50</v>
      </c>
      <c r="AH55" s="7" t="s">
        <v>50</v>
      </c>
      <c r="AI55" s="267" t="s">
        <v>55</v>
      </c>
      <c r="AJ55" s="278" t="s">
        <v>55</v>
      </c>
      <c r="AK55" s="47" t="s">
        <v>50</v>
      </c>
      <c r="AL55" s="49" t="s">
        <v>50</v>
      </c>
      <c r="AM55" s="48"/>
      <c r="AN55" s="71"/>
      <c r="AO55" s="71">
        <f t="shared" si="0"/>
        <v>21345000</v>
      </c>
      <c r="AP55" s="49" t="s">
        <v>50</v>
      </c>
      <c r="AQ55" s="280"/>
    </row>
    <row r="56" spans="1:43" ht="85.5" x14ac:dyDescent="0.25">
      <c r="A56" s="32">
        <v>53</v>
      </c>
      <c r="B56" s="32" t="s">
        <v>36</v>
      </c>
      <c r="C56" s="32" t="s">
        <v>37</v>
      </c>
      <c r="D56" s="32" t="s">
        <v>267</v>
      </c>
      <c r="E56" s="32" t="s">
        <v>268</v>
      </c>
      <c r="F56" s="32" t="s">
        <v>40</v>
      </c>
      <c r="G56" s="32" t="s">
        <v>41</v>
      </c>
      <c r="H56" s="32" t="s">
        <v>42</v>
      </c>
      <c r="I56" s="32" t="s">
        <v>43</v>
      </c>
      <c r="J56" s="32" t="s">
        <v>43</v>
      </c>
      <c r="K56" s="32" t="s">
        <v>269</v>
      </c>
      <c r="L56" s="32">
        <v>105</v>
      </c>
      <c r="M56" s="32" t="s">
        <v>269</v>
      </c>
      <c r="N56" s="17">
        <v>72851666</v>
      </c>
      <c r="O56" s="5">
        <v>80111600</v>
      </c>
      <c r="P56" s="11" t="s">
        <v>273</v>
      </c>
      <c r="Q56" s="11" t="s">
        <v>87</v>
      </c>
      <c r="R56" s="11" t="s">
        <v>87</v>
      </c>
      <c r="S56" s="6">
        <v>9</v>
      </c>
      <c r="T56" s="6" t="s">
        <v>70</v>
      </c>
      <c r="U56" s="6" t="s">
        <v>48</v>
      </c>
      <c r="V56" s="6" t="s">
        <v>71</v>
      </c>
      <c r="W56" s="231">
        <f>6975150*9</f>
        <v>62776350</v>
      </c>
      <c r="X56" s="231">
        <f>6975150*9</f>
        <v>62776350</v>
      </c>
      <c r="Y56" s="7" t="s">
        <v>50</v>
      </c>
      <c r="Z56" s="7" t="s">
        <v>50</v>
      </c>
      <c r="AA56" s="6" t="s">
        <v>269</v>
      </c>
      <c r="AB56" s="7" t="s">
        <v>52</v>
      </c>
      <c r="AC56" s="6" t="s">
        <v>271</v>
      </c>
      <c r="AD56" s="6">
        <v>6017431444</v>
      </c>
      <c r="AE56" s="6" t="s">
        <v>272</v>
      </c>
      <c r="AF56" s="6" t="s">
        <v>50</v>
      </c>
      <c r="AG56" s="7" t="s">
        <v>50</v>
      </c>
      <c r="AH56" s="7" t="s">
        <v>50</v>
      </c>
      <c r="AI56" s="267" t="s">
        <v>55</v>
      </c>
      <c r="AJ56" s="278" t="s">
        <v>55</v>
      </c>
      <c r="AK56" s="47" t="s">
        <v>50</v>
      </c>
      <c r="AL56" s="49" t="s">
        <v>50</v>
      </c>
      <c r="AM56" s="48"/>
      <c r="AN56" s="71"/>
      <c r="AO56" s="71">
        <f t="shared" si="0"/>
        <v>62776350</v>
      </c>
      <c r="AP56" s="49" t="s">
        <v>50</v>
      </c>
      <c r="AQ56" s="280"/>
    </row>
    <row r="57" spans="1:43" ht="85.5" x14ac:dyDescent="0.25">
      <c r="A57" s="32">
        <v>54</v>
      </c>
      <c r="B57" s="32" t="s">
        <v>36</v>
      </c>
      <c r="C57" s="32" t="s">
        <v>37</v>
      </c>
      <c r="D57" s="32" t="s">
        <v>267</v>
      </c>
      <c r="E57" s="32" t="s">
        <v>268</v>
      </c>
      <c r="F57" s="32" t="s">
        <v>40</v>
      </c>
      <c r="G57" s="32" t="s">
        <v>41</v>
      </c>
      <c r="H57" s="32" t="s">
        <v>42</v>
      </c>
      <c r="I57" s="32" t="s">
        <v>43</v>
      </c>
      <c r="J57" s="32" t="s">
        <v>43</v>
      </c>
      <c r="K57" s="32" t="s">
        <v>269</v>
      </c>
      <c r="L57" s="32">
        <v>105</v>
      </c>
      <c r="M57" s="32" t="s">
        <v>269</v>
      </c>
      <c r="N57" s="17">
        <v>72851666</v>
      </c>
      <c r="O57" s="5">
        <v>80111600</v>
      </c>
      <c r="P57" s="11" t="s">
        <v>274</v>
      </c>
      <c r="Q57" s="11" t="s">
        <v>87</v>
      </c>
      <c r="R57" s="11" t="s">
        <v>87</v>
      </c>
      <c r="S57" s="6">
        <v>9</v>
      </c>
      <c r="T57" s="6" t="s">
        <v>70</v>
      </c>
      <c r="U57" s="6" t="s">
        <v>48</v>
      </c>
      <c r="V57" s="6" t="s">
        <v>71</v>
      </c>
      <c r="W57" s="231">
        <f t="shared" ref="W57:X60" si="1">4269000*9</f>
        <v>38421000</v>
      </c>
      <c r="X57" s="231">
        <f t="shared" si="1"/>
        <v>38421000</v>
      </c>
      <c r="Y57" s="7" t="s">
        <v>50</v>
      </c>
      <c r="Z57" s="7" t="s">
        <v>50</v>
      </c>
      <c r="AA57" s="6" t="s">
        <v>269</v>
      </c>
      <c r="AB57" s="7" t="s">
        <v>52</v>
      </c>
      <c r="AC57" s="6" t="s">
        <v>271</v>
      </c>
      <c r="AD57" s="6">
        <v>6017431444</v>
      </c>
      <c r="AE57" s="6" t="s">
        <v>272</v>
      </c>
      <c r="AF57" s="6" t="s">
        <v>50</v>
      </c>
      <c r="AG57" s="7" t="s">
        <v>50</v>
      </c>
      <c r="AH57" s="7" t="s">
        <v>50</v>
      </c>
      <c r="AI57" s="267" t="s">
        <v>55</v>
      </c>
      <c r="AJ57" s="278" t="s">
        <v>55</v>
      </c>
      <c r="AK57" s="47" t="s">
        <v>55</v>
      </c>
      <c r="AL57" s="49" t="s">
        <v>55</v>
      </c>
      <c r="AM57" s="48" t="s">
        <v>483</v>
      </c>
      <c r="AN57" s="71">
        <v>25623000</v>
      </c>
      <c r="AO57" s="71">
        <f t="shared" si="0"/>
        <v>12798000</v>
      </c>
      <c r="AP57" s="49" t="s">
        <v>483</v>
      </c>
      <c r="AQ57" s="280">
        <f>VLOOKUP(AM57,[1]Hoja2!$B:$W,18,0)</f>
        <v>45907</v>
      </c>
    </row>
    <row r="58" spans="1:43" ht="85.5" x14ac:dyDescent="0.25">
      <c r="A58" s="32">
        <v>55</v>
      </c>
      <c r="B58" s="32" t="s">
        <v>36</v>
      </c>
      <c r="C58" s="32" t="s">
        <v>37</v>
      </c>
      <c r="D58" s="32" t="s">
        <v>267</v>
      </c>
      <c r="E58" s="32" t="s">
        <v>268</v>
      </c>
      <c r="F58" s="32" t="s">
        <v>40</v>
      </c>
      <c r="G58" s="32" t="s">
        <v>41</v>
      </c>
      <c r="H58" s="32" t="s">
        <v>42</v>
      </c>
      <c r="I58" s="32" t="s">
        <v>43</v>
      </c>
      <c r="J58" s="32" t="s">
        <v>43</v>
      </c>
      <c r="K58" s="32" t="s">
        <v>269</v>
      </c>
      <c r="L58" s="32">
        <v>105</v>
      </c>
      <c r="M58" s="32" t="s">
        <v>269</v>
      </c>
      <c r="N58" s="17">
        <v>72851666</v>
      </c>
      <c r="O58" s="5">
        <v>80111600</v>
      </c>
      <c r="P58" s="11" t="s">
        <v>274</v>
      </c>
      <c r="Q58" s="11" t="s">
        <v>87</v>
      </c>
      <c r="R58" s="11" t="s">
        <v>87</v>
      </c>
      <c r="S58" s="6">
        <v>9</v>
      </c>
      <c r="T58" s="6" t="s">
        <v>70</v>
      </c>
      <c r="U58" s="6" t="s">
        <v>48</v>
      </c>
      <c r="V58" s="6" t="s">
        <v>71</v>
      </c>
      <c r="W58" s="231">
        <f t="shared" si="1"/>
        <v>38421000</v>
      </c>
      <c r="X58" s="231">
        <f t="shared" si="1"/>
        <v>38421000</v>
      </c>
      <c r="Y58" s="7" t="s">
        <v>50</v>
      </c>
      <c r="Z58" s="7" t="s">
        <v>50</v>
      </c>
      <c r="AA58" s="6" t="s">
        <v>269</v>
      </c>
      <c r="AB58" s="7" t="s">
        <v>52</v>
      </c>
      <c r="AC58" s="6" t="s">
        <v>271</v>
      </c>
      <c r="AD58" s="6">
        <v>6017431444</v>
      </c>
      <c r="AE58" s="6" t="s">
        <v>272</v>
      </c>
      <c r="AF58" s="6" t="s">
        <v>50</v>
      </c>
      <c r="AG58" s="7" t="s">
        <v>50</v>
      </c>
      <c r="AH58" s="7" t="s">
        <v>50</v>
      </c>
      <c r="AI58" s="267" t="s">
        <v>55</v>
      </c>
      <c r="AJ58" s="278" t="s">
        <v>55</v>
      </c>
      <c r="AK58" s="47" t="s">
        <v>55</v>
      </c>
      <c r="AL58" s="49" t="s">
        <v>55</v>
      </c>
      <c r="AM58" s="48" t="s">
        <v>484</v>
      </c>
      <c r="AN58" s="71">
        <v>25623000</v>
      </c>
      <c r="AO58" s="71">
        <f t="shared" si="0"/>
        <v>12798000</v>
      </c>
      <c r="AP58" s="49" t="s">
        <v>484</v>
      </c>
      <c r="AQ58" s="280">
        <f>VLOOKUP(AM58,[1]Hoja2!$B:$W,18,0)</f>
        <v>45907</v>
      </c>
    </row>
    <row r="59" spans="1:43" ht="85.5" x14ac:dyDescent="0.25">
      <c r="A59" s="32">
        <v>56</v>
      </c>
      <c r="B59" s="32" t="s">
        <v>36</v>
      </c>
      <c r="C59" s="32" t="s">
        <v>37</v>
      </c>
      <c r="D59" s="32" t="s">
        <v>267</v>
      </c>
      <c r="E59" s="32" t="s">
        <v>268</v>
      </c>
      <c r="F59" s="32" t="s">
        <v>40</v>
      </c>
      <c r="G59" s="32" t="s">
        <v>41</v>
      </c>
      <c r="H59" s="32" t="s">
        <v>42</v>
      </c>
      <c r="I59" s="32" t="s">
        <v>43</v>
      </c>
      <c r="J59" s="32" t="s">
        <v>43</v>
      </c>
      <c r="K59" s="32" t="s">
        <v>269</v>
      </c>
      <c r="L59" s="32">
        <v>105</v>
      </c>
      <c r="M59" s="32" t="s">
        <v>269</v>
      </c>
      <c r="N59" s="17">
        <v>72851666</v>
      </c>
      <c r="O59" s="5">
        <v>80111600</v>
      </c>
      <c r="P59" s="11" t="s">
        <v>274</v>
      </c>
      <c r="Q59" s="11" t="s">
        <v>87</v>
      </c>
      <c r="R59" s="11" t="s">
        <v>87</v>
      </c>
      <c r="S59" s="6">
        <v>9</v>
      </c>
      <c r="T59" s="6" t="s">
        <v>70</v>
      </c>
      <c r="U59" s="6" t="s">
        <v>48</v>
      </c>
      <c r="V59" s="6" t="s">
        <v>71</v>
      </c>
      <c r="W59" s="231">
        <f t="shared" si="1"/>
        <v>38421000</v>
      </c>
      <c r="X59" s="231">
        <f t="shared" si="1"/>
        <v>38421000</v>
      </c>
      <c r="Y59" s="7" t="s">
        <v>50</v>
      </c>
      <c r="Z59" s="7" t="s">
        <v>50</v>
      </c>
      <c r="AA59" s="6" t="s">
        <v>269</v>
      </c>
      <c r="AB59" s="7" t="s">
        <v>52</v>
      </c>
      <c r="AC59" s="6" t="s">
        <v>271</v>
      </c>
      <c r="AD59" s="6">
        <v>6017431444</v>
      </c>
      <c r="AE59" s="6" t="s">
        <v>272</v>
      </c>
      <c r="AF59" s="6" t="s">
        <v>50</v>
      </c>
      <c r="AG59" s="7" t="s">
        <v>50</v>
      </c>
      <c r="AH59" s="7" t="s">
        <v>50</v>
      </c>
      <c r="AI59" s="267" t="s">
        <v>55</v>
      </c>
      <c r="AJ59" s="278" t="s">
        <v>55</v>
      </c>
      <c r="AK59" s="47" t="s">
        <v>50</v>
      </c>
      <c r="AL59" s="49" t="s">
        <v>50</v>
      </c>
      <c r="AM59" s="48"/>
      <c r="AN59" s="71"/>
      <c r="AO59" s="71">
        <f t="shared" si="0"/>
        <v>38421000</v>
      </c>
      <c r="AP59" s="49" t="s">
        <v>50</v>
      </c>
      <c r="AQ59" s="280"/>
    </row>
    <row r="60" spans="1:43" ht="85.5" x14ac:dyDescent="0.25">
      <c r="A60" s="32">
        <v>57</v>
      </c>
      <c r="B60" s="32" t="s">
        <v>36</v>
      </c>
      <c r="C60" s="32" t="s">
        <v>37</v>
      </c>
      <c r="D60" s="32" t="s">
        <v>267</v>
      </c>
      <c r="E60" s="32" t="s">
        <v>268</v>
      </c>
      <c r="F60" s="32" t="s">
        <v>40</v>
      </c>
      <c r="G60" s="32" t="s">
        <v>41</v>
      </c>
      <c r="H60" s="32" t="s">
        <v>42</v>
      </c>
      <c r="I60" s="32" t="s">
        <v>43</v>
      </c>
      <c r="J60" s="32" t="s">
        <v>43</v>
      </c>
      <c r="K60" s="32" t="s">
        <v>269</v>
      </c>
      <c r="L60" s="32">
        <v>105</v>
      </c>
      <c r="M60" s="32" t="s">
        <v>269</v>
      </c>
      <c r="N60" s="17">
        <v>72851666</v>
      </c>
      <c r="O60" s="5">
        <v>80111600</v>
      </c>
      <c r="P60" s="11" t="s">
        <v>274</v>
      </c>
      <c r="Q60" s="11" t="s">
        <v>87</v>
      </c>
      <c r="R60" s="11" t="s">
        <v>87</v>
      </c>
      <c r="S60" s="6">
        <v>9</v>
      </c>
      <c r="T60" s="6" t="s">
        <v>70</v>
      </c>
      <c r="U60" s="6" t="s">
        <v>48</v>
      </c>
      <c r="V60" s="6" t="s">
        <v>71</v>
      </c>
      <c r="W60" s="231">
        <f t="shared" si="1"/>
        <v>38421000</v>
      </c>
      <c r="X60" s="231">
        <f t="shared" si="1"/>
        <v>38421000</v>
      </c>
      <c r="Y60" s="7" t="s">
        <v>50</v>
      </c>
      <c r="Z60" s="7" t="s">
        <v>50</v>
      </c>
      <c r="AA60" s="6" t="s">
        <v>269</v>
      </c>
      <c r="AB60" s="7" t="s">
        <v>52</v>
      </c>
      <c r="AC60" s="6" t="s">
        <v>271</v>
      </c>
      <c r="AD60" s="6">
        <v>6017431444</v>
      </c>
      <c r="AE60" s="6" t="s">
        <v>272</v>
      </c>
      <c r="AF60" s="6" t="s">
        <v>50</v>
      </c>
      <c r="AG60" s="7" t="s">
        <v>50</v>
      </c>
      <c r="AH60" s="7" t="s">
        <v>50</v>
      </c>
      <c r="AI60" s="267" t="s">
        <v>55</v>
      </c>
      <c r="AJ60" s="278" t="s">
        <v>55</v>
      </c>
      <c r="AK60" s="47" t="s">
        <v>50</v>
      </c>
      <c r="AL60" s="49" t="s">
        <v>50</v>
      </c>
      <c r="AM60" s="48"/>
      <c r="AN60" s="71"/>
      <c r="AO60" s="71">
        <f t="shared" si="0"/>
        <v>38421000</v>
      </c>
      <c r="AP60" s="49" t="s">
        <v>50</v>
      </c>
      <c r="AQ60" s="280"/>
    </row>
    <row r="61" spans="1:43" ht="85.5" x14ac:dyDescent="0.25">
      <c r="A61" s="32">
        <v>58</v>
      </c>
      <c r="B61" s="32" t="s">
        <v>36</v>
      </c>
      <c r="C61" s="32" t="s">
        <v>37</v>
      </c>
      <c r="D61" s="32" t="s">
        <v>267</v>
      </c>
      <c r="E61" s="32" t="s">
        <v>268</v>
      </c>
      <c r="F61" s="32" t="s">
        <v>40</v>
      </c>
      <c r="G61" s="32" t="s">
        <v>41</v>
      </c>
      <c r="H61" s="32" t="s">
        <v>42</v>
      </c>
      <c r="I61" s="32" t="s">
        <v>43</v>
      </c>
      <c r="J61" s="32" t="s">
        <v>43</v>
      </c>
      <c r="K61" s="32" t="s">
        <v>269</v>
      </c>
      <c r="L61" s="32">
        <v>105</v>
      </c>
      <c r="M61" s="32" t="s">
        <v>269</v>
      </c>
      <c r="N61" s="17">
        <v>72851666</v>
      </c>
      <c r="O61" s="5">
        <v>80111600</v>
      </c>
      <c r="P61" s="11" t="s">
        <v>274</v>
      </c>
      <c r="Q61" s="11" t="s">
        <v>87</v>
      </c>
      <c r="R61" s="11" t="s">
        <v>87</v>
      </c>
      <c r="S61" s="6">
        <v>8</v>
      </c>
      <c r="T61" s="6" t="s">
        <v>70</v>
      </c>
      <c r="U61" s="6" t="s">
        <v>48</v>
      </c>
      <c r="V61" s="6" t="s">
        <v>71</v>
      </c>
      <c r="W61" s="231">
        <v>34164000</v>
      </c>
      <c r="X61" s="231">
        <v>34164000</v>
      </c>
      <c r="Y61" s="7" t="s">
        <v>50</v>
      </c>
      <c r="Z61" s="7" t="s">
        <v>50</v>
      </c>
      <c r="AA61" s="6" t="s">
        <v>269</v>
      </c>
      <c r="AB61" s="7" t="s">
        <v>52</v>
      </c>
      <c r="AC61" s="6" t="s">
        <v>271</v>
      </c>
      <c r="AD61" s="6">
        <v>6017431444</v>
      </c>
      <c r="AE61" s="6" t="s">
        <v>272</v>
      </c>
      <c r="AF61" s="6" t="s">
        <v>50</v>
      </c>
      <c r="AG61" s="7" t="s">
        <v>50</v>
      </c>
      <c r="AH61" s="7" t="s">
        <v>50</v>
      </c>
      <c r="AI61" s="267" t="s">
        <v>55</v>
      </c>
      <c r="AJ61" s="278" t="s">
        <v>55</v>
      </c>
      <c r="AK61" s="47" t="s">
        <v>50</v>
      </c>
      <c r="AL61" s="49" t="s">
        <v>50</v>
      </c>
      <c r="AM61" s="48"/>
      <c r="AN61" s="71"/>
      <c r="AO61" s="71">
        <f t="shared" si="0"/>
        <v>34164000</v>
      </c>
      <c r="AP61" s="49" t="s">
        <v>50</v>
      </c>
      <c r="AQ61" s="280"/>
    </row>
    <row r="62" spans="1:43" ht="85.5" x14ac:dyDescent="0.25">
      <c r="A62" s="32">
        <v>59</v>
      </c>
      <c r="B62" s="32" t="s">
        <v>36</v>
      </c>
      <c r="C62" s="32" t="s">
        <v>37</v>
      </c>
      <c r="D62" s="32" t="s">
        <v>275</v>
      </c>
      <c r="E62" s="32" t="s">
        <v>276</v>
      </c>
      <c r="F62" s="32" t="s">
        <v>40</v>
      </c>
      <c r="G62" s="32" t="s">
        <v>64</v>
      </c>
      <c r="H62" s="33" t="s">
        <v>65</v>
      </c>
      <c r="I62" s="32" t="s">
        <v>277</v>
      </c>
      <c r="J62" s="32" t="s">
        <v>278</v>
      </c>
      <c r="K62" s="33" t="s">
        <v>279</v>
      </c>
      <c r="L62" s="33">
        <v>130</v>
      </c>
      <c r="M62" s="33" t="s">
        <v>279</v>
      </c>
      <c r="N62" s="31">
        <v>729000000</v>
      </c>
      <c r="O62" s="6" t="s">
        <v>280</v>
      </c>
      <c r="P62" s="13" t="s">
        <v>281</v>
      </c>
      <c r="Q62" s="19" t="s">
        <v>121</v>
      </c>
      <c r="R62" s="20" t="s">
        <v>282</v>
      </c>
      <c r="S62" s="20">
        <v>6</v>
      </c>
      <c r="T62" s="20" t="s">
        <v>70</v>
      </c>
      <c r="U62" s="7" t="s">
        <v>111</v>
      </c>
      <c r="V62" s="6" t="s">
        <v>283</v>
      </c>
      <c r="W62" s="237">
        <v>670000000</v>
      </c>
      <c r="X62" s="237">
        <v>670000000</v>
      </c>
      <c r="Y62" s="7" t="s">
        <v>50</v>
      </c>
      <c r="Z62" s="7" t="s">
        <v>50</v>
      </c>
      <c r="AA62" s="7" t="s">
        <v>279</v>
      </c>
      <c r="AB62" s="7" t="s">
        <v>52</v>
      </c>
      <c r="AC62" s="7" t="s">
        <v>284</v>
      </c>
      <c r="AD62" s="15">
        <v>3012606640</v>
      </c>
      <c r="AE62" s="16" t="s">
        <v>285</v>
      </c>
      <c r="AF62" s="15" t="s">
        <v>101</v>
      </c>
      <c r="AG62" s="7" t="s">
        <v>50</v>
      </c>
      <c r="AH62" s="7" t="s">
        <v>50</v>
      </c>
      <c r="AI62" s="265" t="s">
        <v>55</v>
      </c>
      <c r="AJ62" s="278" t="s">
        <v>55</v>
      </c>
      <c r="AK62" s="47" t="s">
        <v>50</v>
      </c>
      <c r="AL62" s="49" t="s">
        <v>50</v>
      </c>
      <c r="AM62" s="48"/>
      <c r="AN62" s="71"/>
      <c r="AO62" s="71">
        <f t="shared" si="0"/>
        <v>670000000</v>
      </c>
      <c r="AP62" s="49" t="s">
        <v>630</v>
      </c>
      <c r="AQ62" s="280">
        <f>VLOOKUP(AP62,[1]Hoja2!$B:$W,18,0)</f>
        <v>45838</v>
      </c>
    </row>
    <row r="63" spans="1:43" ht="85.5" x14ac:dyDescent="0.25">
      <c r="A63" s="32">
        <v>60</v>
      </c>
      <c r="B63" s="32" t="s">
        <v>36</v>
      </c>
      <c r="C63" s="32" t="s">
        <v>37</v>
      </c>
      <c r="D63" s="32" t="s">
        <v>286</v>
      </c>
      <c r="E63" s="32" t="s">
        <v>287</v>
      </c>
      <c r="F63" s="32" t="s">
        <v>40</v>
      </c>
      <c r="G63" s="32" t="s">
        <v>64</v>
      </c>
      <c r="H63" s="33" t="s">
        <v>65</v>
      </c>
      <c r="I63" s="33" t="s">
        <v>182</v>
      </c>
      <c r="J63" s="33" t="s">
        <v>182</v>
      </c>
      <c r="K63" s="33" t="s">
        <v>279</v>
      </c>
      <c r="L63" s="33">
        <v>130</v>
      </c>
      <c r="M63" s="33" t="s">
        <v>279</v>
      </c>
      <c r="N63" s="31">
        <v>65530000</v>
      </c>
      <c r="O63" s="5">
        <v>80111600</v>
      </c>
      <c r="P63" s="11" t="s">
        <v>288</v>
      </c>
      <c r="Q63" s="21" t="s">
        <v>59</v>
      </c>
      <c r="R63" s="15" t="s">
        <v>59</v>
      </c>
      <c r="S63" s="15">
        <v>10</v>
      </c>
      <c r="T63" s="15" t="s">
        <v>70</v>
      </c>
      <c r="U63" s="6" t="s">
        <v>48</v>
      </c>
      <c r="V63" s="15" t="s">
        <v>112</v>
      </c>
      <c r="W63" s="235">
        <v>52130000</v>
      </c>
      <c r="X63" s="235">
        <v>52130000</v>
      </c>
      <c r="Y63" s="7" t="s">
        <v>50</v>
      </c>
      <c r="Z63" s="7" t="s">
        <v>50</v>
      </c>
      <c r="AA63" s="7" t="s">
        <v>279</v>
      </c>
      <c r="AB63" s="7" t="s">
        <v>52</v>
      </c>
      <c r="AC63" s="7" t="s">
        <v>284</v>
      </c>
      <c r="AD63" s="15">
        <v>3012606640</v>
      </c>
      <c r="AE63" s="16" t="s">
        <v>285</v>
      </c>
      <c r="AF63" s="15" t="s">
        <v>101</v>
      </c>
      <c r="AG63" s="7" t="s">
        <v>50</v>
      </c>
      <c r="AH63" s="7" t="s">
        <v>50</v>
      </c>
      <c r="AI63" s="267" t="s">
        <v>55</v>
      </c>
      <c r="AJ63" s="278" t="s">
        <v>55</v>
      </c>
      <c r="AK63" s="47" t="s">
        <v>50</v>
      </c>
      <c r="AL63" s="49" t="s">
        <v>50</v>
      </c>
      <c r="AM63" s="48"/>
      <c r="AN63" s="71"/>
      <c r="AO63" s="71">
        <f t="shared" si="0"/>
        <v>52130000</v>
      </c>
      <c r="AP63" s="49" t="s">
        <v>50</v>
      </c>
      <c r="AQ63" s="280"/>
    </row>
    <row r="64" spans="1:43" ht="71.25" x14ac:dyDescent="0.25">
      <c r="A64" s="32">
        <v>61</v>
      </c>
      <c r="B64" s="32" t="s">
        <v>36</v>
      </c>
      <c r="C64" s="32" t="s">
        <v>56</v>
      </c>
      <c r="D64" s="32" t="s">
        <v>289</v>
      </c>
      <c r="E64" s="32" t="s">
        <v>290</v>
      </c>
      <c r="F64" s="32" t="s">
        <v>40</v>
      </c>
      <c r="G64" s="33" t="s">
        <v>106</v>
      </c>
      <c r="H64" s="33" t="s">
        <v>174</v>
      </c>
      <c r="I64" s="33" t="s">
        <v>175</v>
      </c>
      <c r="J64" s="33" t="s">
        <v>175</v>
      </c>
      <c r="K64" s="33" t="s">
        <v>279</v>
      </c>
      <c r="L64" s="33">
        <v>130</v>
      </c>
      <c r="M64" s="33" t="s">
        <v>279</v>
      </c>
      <c r="N64" s="31">
        <v>100000000</v>
      </c>
      <c r="O64" s="5">
        <v>81112501</v>
      </c>
      <c r="P64" s="11" t="s">
        <v>291</v>
      </c>
      <c r="Q64" s="21" t="s">
        <v>87</v>
      </c>
      <c r="R64" s="15" t="s">
        <v>79</v>
      </c>
      <c r="S64" s="15">
        <v>9</v>
      </c>
      <c r="T64" s="15" t="s">
        <v>70</v>
      </c>
      <c r="U64" s="6" t="s">
        <v>48</v>
      </c>
      <c r="V64" s="15" t="s">
        <v>112</v>
      </c>
      <c r="W64" s="235">
        <v>100000000</v>
      </c>
      <c r="X64" s="235">
        <v>100000000</v>
      </c>
      <c r="Y64" s="7" t="s">
        <v>50</v>
      </c>
      <c r="Z64" s="7" t="s">
        <v>50</v>
      </c>
      <c r="AA64" s="7" t="s">
        <v>279</v>
      </c>
      <c r="AB64" s="7" t="s">
        <v>52</v>
      </c>
      <c r="AC64" s="7" t="s">
        <v>284</v>
      </c>
      <c r="AD64" s="15">
        <v>3012606640</v>
      </c>
      <c r="AE64" s="16" t="s">
        <v>285</v>
      </c>
      <c r="AF64" s="15" t="s">
        <v>101</v>
      </c>
      <c r="AG64" s="7" t="s">
        <v>50</v>
      </c>
      <c r="AH64" s="7" t="s">
        <v>50</v>
      </c>
      <c r="AI64" s="267" t="s">
        <v>55</v>
      </c>
      <c r="AJ64" s="278" t="s">
        <v>55</v>
      </c>
      <c r="AK64" s="47" t="s">
        <v>50</v>
      </c>
      <c r="AL64" s="49" t="s">
        <v>50</v>
      </c>
      <c r="AM64" s="48"/>
      <c r="AN64" s="71"/>
      <c r="AO64" s="71">
        <f t="shared" si="0"/>
        <v>100000000</v>
      </c>
      <c r="AP64" s="49" t="s">
        <v>50</v>
      </c>
      <c r="AQ64" s="280"/>
    </row>
    <row r="65" spans="1:43" ht="71.25" x14ac:dyDescent="0.25">
      <c r="A65" s="32">
        <v>62</v>
      </c>
      <c r="B65" s="32" t="s">
        <v>36</v>
      </c>
      <c r="C65" s="32" t="s">
        <v>56</v>
      </c>
      <c r="D65" s="32" t="s">
        <v>292</v>
      </c>
      <c r="E65" s="32" t="s">
        <v>293</v>
      </c>
      <c r="F65" s="32" t="s">
        <v>40</v>
      </c>
      <c r="G65" s="33" t="s">
        <v>106</v>
      </c>
      <c r="H65" s="33" t="s">
        <v>294</v>
      </c>
      <c r="I65" s="33" t="s">
        <v>295</v>
      </c>
      <c r="J65" s="33" t="s">
        <v>295</v>
      </c>
      <c r="K65" s="33" t="s">
        <v>279</v>
      </c>
      <c r="L65" s="33">
        <v>130</v>
      </c>
      <c r="M65" s="33" t="s">
        <v>279</v>
      </c>
      <c r="N65" s="31">
        <v>80000000</v>
      </c>
      <c r="O65" s="12" t="s">
        <v>296</v>
      </c>
      <c r="P65" s="11" t="s">
        <v>297</v>
      </c>
      <c r="Q65" s="21" t="s">
        <v>87</v>
      </c>
      <c r="R65" s="15" t="s">
        <v>79</v>
      </c>
      <c r="S65" s="15">
        <v>9</v>
      </c>
      <c r="T65" s="15" t="s">
        <v>70</v>
      </c>
      <c r="U65" s="22" t="s">
        <v>131</v>
      </c>
      <c r="V65" s="15" t="s">
        <v>112</v>
      </c>
      <c r="W65" s="235">
        <v>77000000</v>
      </c>
      <c r="X65" s="235">
        <v>77000000</v>
      </c>
      <c r="Y65" s="7" t="s">
        <v>50</v>
      </c>
      <c r="Z65" s="7" t="s">
        <v>50</v>
      </c>
      <c r="AA65" s="7" t="s">
        <v>279</v>
      </c>
      <c r="AB65" s="7" t="s">
        <v>52</v>
      </c>
      <c r="AC65" s="7" t="s">
        <v>284</v>
      </c>
      <c r="AD65" s="15">
        <v>3012606640</v>
      </c>
      <c r="AE65" s="16" t="s">
        <v>285</v>
      </c>
      <c r="AF65" s="15" t="s">
        <v>101</v>
      </c>
      <c r="AG65" s="7" t="s">
        <v>50</v>
      </c>
      <c r="AH65" s="7" t="s">
        <v>50</v>
      </c>
      <c r="AI65" s="267" t="s">
        <v>55</v>
      </c>
      <c r="AJ65" s="278" t="s">
        <v>55</v>
      </c>
      <c r="AK65" s="47" t="s">
        <v>50</v>
      </c>
      <c r="AL65" s="49" t="s">
        <v>50</v>
      </c>
      <c r="AM65" s="48"/>
      <c r="AN65" s="71"/>
      <c r="AO65" s="71">
        <f t="shared" si="0"/>
        <v>77000000</v>
      </c>
      <c r="AP65" s="49" t="s">
        <v>631</v>
      </c>
      <c r="AQ65" s="280"/>
    </row>
    <row r="66" spans="1:43" ht="128.25" x14ac:dyDescent="0.25">
      <c r="A66" s="32">
        <v>63</v>
      </c>
      <c r="B66" s="32" t="s">
        <v>36</v>
      </c>
      <c r="C66" s="32" t="s">
        <v>37</v>
      </c>
      <c r="D66" s="32" t="s">
        <v>298</v>
      </c>
      <c r="E66" s="32" t="s">
        <v>299</v>
      </c>
      <c r="F66" s="32" t="s">
        <v>40</v>
      </c>
      <c r="G66" s="32" t="s">
        <v>106</v>
      </c>
      <c r="H66" s="32" t="s">
        <v>515</v>
      </c>
      <c r="I66" s="32" t="s">
        <v>514</v>
      </c>
      <c r="J66" s="32" t="s">
        <v>514</v>
      </c>
      <c r="K66" s="32" t="s">
        <v>302</v>
      </c>
      <c r="L66" s="32">
        <v>120</v>
      </c>
      <c r="M66" s="32" t="s">
        <v>302</v>
      </c>
      <c r="N66" s="68">
        <v>1929727728</v>
      </c>
      <c r="O66" s="6" t="s">
        <v>303</v>
      </c>
      <c r="P66" s="11" t="s">
        <v>304</v>
      </c>
      <c r="Q66" s="69" t="s">
        <v>87</v>
      </c>
      <c r="R66" s="70" t="s">
        <v>79</v>
      </c>
      <c r="S66" s="6">
        <v>1</v>
      </c>
      <c r="T66" s="7" t="s">
        <v>122</v>
      </c>
      <c r="U66" s="7" t="s">
        <v>157</v>
      </c>
      <c r="V66" s="6" t="s">
        <v>49</v>
      </c>
      <c r="W66" s="234">
        <v>1407317170</v>
      </c>
      <c r="X66" s="234">
        <v>1407317170</v>
      </c>
      <c r="Y66" s="60" t="s">
        <v>55</v>
      </c>
      <c r="Z66" s="70" t="s">
        <v>316</v>
      </c>
      <c r="AA66" s="6" t="s">
        <v>302</v>
      </c>
      <c r="AB66" s="7" t="s">
        <v>52</v>
      </c>
      <c r="AC66" s="6" t="s">
        <v>305</v>
      </c>
      <c r="AD66" s="6">
        <v>6017431444</v>
      </c>
      <c r="AE66" s="6" t="s">
        <v>306</v>
      </c>
      <c r="AF66" s="6" t="s">
        <v>50</v>
      </c>
      <c r="AG66" s="7" t="s">
        <v>50</v>
      </c>
      <c r="AH66" s="7" t="s">
        <v>50</v>
      </c>
      <c r="AI66" s="267" t="s">
        <v>55</v>
      </c>
      <c r="AJ66" s="278" t="s">
        <v>55</v>
      </c>
      <c r="AK66" s="47" t="s">
        <v>55</v>
      </c>
      <c r="AL66" s="49" t="s">
        <v>50</v>
      </c>
      <c r="AM66" s="48"/>
      <c r="AN66" s="71"/>
      <c r="AO66" s="71">
        <f t="shared" si="0"/>
        <v>1407317170</v>
      </c>
      <c r="AP66" s="49" t="s">
        <v>50</v>
      </c>
      <c r="AQ66" s="280"/>
    </row>
    <row r="67" spans="1:43" ht="85.5" x14ac:dyDescent="0.25">
      <c r="A67" s="32">
        <v>64</v>
      </c>
      <c r="B67" s="32" t="s">
        <v>36</v>
      </c>
      <c r="C67" s="32" t="s">
        <v>37</v>
      </c>
      <c r="D67" s="32" t="s">
        <v>307</v>
      </c>
      <c r="E67" s="32" t="s">
        <v>308</v>
      </c>
      <c r="F67" s="32" t="s">
        <v>40</v>
      </c>
      <c r="G67" s="32" t="s">
        <v>64</v>
      </c>
      <c r="H67" s="32" t="s">
        <v>65</v>
      </c>
      <c r="I67" s="32" t="s">
        <v>66</v>
      </c>
      <c r="J67" s="32" t="s">
        <v>66</v>
      </c>
      <c r="K67" s="32" t="s">
        <v>302</v>
      </c>
      <c r="L67" s="32">
        <v>120</v>
      </c>
      <c r="M67" s="32" t="s">
        <v>302</v>
      </c>
      <c r="N67" s="17">
        <v>73987923</v>
      </c>
      <c r="O67" s="5">
        <v>80111600</v>
      </c>
      <c r="P67" s="6" t="s">
        <v>309</v>
      </c>
      <c r="Q67" s="11" t="s">
        <v>59</v>
      </c>
      <c r="R67" s="11" t="s">
        <v>59</v>
      </c>
      <c r="S67" s="6">
        <v>11</v>
      </c>
      <c r="T67" s="7" t="s">
        <v>70</v>
      </c>
      <c r="U67" s="6" t="s">
        <v>48</v>
      </c>
      <c r="V67" s="6" t="s">
        <v>49</v>
      </c>
      <c r="W67" s="231">
        <v>93944752</v>
      </c>
      <c r="X67" s="231">
        <v>93944752</v>
      </c>
      <c r="Y67" s="7" t="s">
        <v>50</v>
      </c>
      <c r="Z67" s="15" t="s">
        <v>50</v>
      </c>
      <c r="AA67" s="6" t="s">
        <v>302</v>
      </c>
      <c r="AB67" s="7" t="s">
        <v>52</v>
      </c>
      <c r="AC67" s="6" t="s">
        <v>305</v>
      </c>
      <c r="AD67" s="6">
        <v>6017431444</v>
      </c>
      <c r="AE67" s="6" t="s">
        <v>306</v>
      </c>
      <c r="AF67" s="6" t="s">
        <v>50</v>
      </c>
      <c r="AG67" s="7" t="s">
        <v>50</v>
      </c>
      <c r="AH67" s="7" t="s">
        <v>50</v>
      </c>
      <c r="AI67" s="267" t="s">
        <v>55</v>
      </c>
      <c r="AJ67" s="278" t="s">
        <v>55</v>
      </c>
      <c r="AK67" s="47" t="s">
        <v>55</v>
      </c>
      <c r="AL67" s="47" t="s">
        <v>50</v>
      </c>
      <c r="AM67" s="48"/>
      <c r="AN67" s="71"/>
      <c r="AO67" s="71">
        <f t="shared" si="0"/>
        <v>93944752</v>
      </c>
      <c r="AP67" s="49" t="s">
        <v>50</v>
      </c>
      <c r="AQ67" s="280"/>
    </row>
    <row r="68" spans="1:43" s="41" customFormat="1" ht="71.25" x14ac:dyDescent="0.25">
      <c r="A68" s="32">
        <v>65</v>
      </c>
      <c r="B68" s="32" t="s">
        <v>36</v>
      </c>
      <c r="C68" s="32" t="s">
        <v>56</v>
      </c>
      <c r="D68" s="32" t="s">
        <v>307</v>
      </c>
      <c r="E68" s="32" t="s">
        <v>308</v>
      </c>
      <c r="F68" s="32" t="s">
        <v>40</v>
      </c>
      <c r="G68" s="32" t="s">
        <v>64</v>
      </c>
      <c r="H68" s="32" t="s">
        <v>65</v>
      </c>
      <c r="I68" s="32" t="s">
        <v>66</v>
      </c>
      <c r="J68" s="32" t="s">
        <v>66</v>
      </c>
      <c r="K68" s="32" t="s">
        <v>302</v>
      </c>
      <c r="L68" s="32">
        <v>120</v>
      </c>
      <c r="M68" s="32" t="s">
        <v>302</v>
      </c>
      <c r="N68" s="17">
        <v>73987923</v>
      </c>
      <c r="O68" s="23">
        <v>80111600</v>
      </c>
      <c r="P68" s="18" t="s">
        <v>310</v>
      </c>
      <c r="Q68" s="13" t="s">
        <v>59</v>
      </c>
      <c r="R68" s="13" t="s">
        <v>59</v>
      </c>
      <c r="S68" s="18">
        <v>6</v>
      </c>
      <c r="T68" s="22" t="s">
        <v>70</v>
      </c>
      <c r="U68" s="18" t="s">
        <v>48</v>
      </c>
      <c r="V68" s="18" t="s">
        <v>49</v>
      </c>
      <c r="W68" s="232">
        <v>73987923</v>
      </c>
      <c r="X68" s="232">
        <v>73987923</v>
      </c>
      <c r="Y68" s="22" t="s">
        <v>50</v>
      </c>
      <c r="Z68" s="42" t="s">
        <v>50</v>
      </c>
      <c r="AA68" s="18" t="s">
        <v>302</v>
      </c>
      <c r="AB68" s="22" t="s">
        <v>52</v>
      </c>
      <c r="AC68" s="18" t="s">
        <v>305</v>
      </c>
      <c r="AD68" s="18">
        <v>6017431444</v>
      </c>
      <c r="AE68" s="18" t="s">
        <v>306</v>
      </c>
      <c r="AF68" s="18" t="s">
        <v>50</v>
      </c>
      <c r="AG68" s="22" t="s">
        <v>50</v>
      </c>
      <c r="AH68" s="22" t="s">
        <v>50</v>
      </c>
      <c r="AI68" s="268" t="s">
        <v>55</v>
      </c>
      <c r="AJ68" s="278" t="s">
        <v>55</v>
      </c>
      <c r="AK68" s="49" t="s">
        <v>55</v>
      </c>
      <c r="AL68" s="49" t="s">
        <v>50</v>
      </c>
      <c r="AM68" s="33"/>
      <c r="AN68" s="72"/>
      <c r="AO68" s="71">
        <f t="shared" si="0"/>
        <v>73987923</v>
      </c>
      <c r="AP68" s="49" t="s">
        <v>50</v>
      </c>
      <c r="AQ68" s="280"/>
    </row>
    <row r="69" spans="1:43" ht="99.75" x14ac:dyDescent="0.25">
      <c r="A69" s="32">
        <v>66</v>
      </c>
      <c r="B69" s="32" t="s">
        <v>36</v>
      </c>
      <c r="C69" s="32" t="s">
        <v>56</v>
      </c>
      <c r="D69" s="32" t="s">
        <v>311</v>
      </c>
      <c r="E69" s="32" t="s">
        <v>312</v>
      </c>
      <c r="F69" s="32" t="s">
        <v>40</v>
      </c>
      <c r="G69" s="32" t="s">
        <v>106</v>
      </c>
      <c r="H69" s="77" t="s">
        <v>174</v>
      </c>
      <c r="I69" s="32" t="s">
        <v>313</v>
      </c>
      <c r="J69" s="32" t="s">
        <v>313</v>
      </c>
      <c r="K69" s="32" t="s">
        <v>302</v>
      </c>
      <c r="L69" s="32">
        <v>120</v>
      </c>
      <c r="M69" s="32" t="s">
        <v>302</v>
      </c>
      <c r="N69" s="17">
        <v>1929727728</v>
      </c>
      <c r="O69" s="5" t="s">
        <v>314</v>
      </c>
      <c r="P69" s="6" t="s">
        <v>315</v>
      </c>
      <c r="Q69" s="11" t="s">
        <v>59</v>
      </c>
      <c r="R69" s="6" t="s">
        <v>59</v>
      </c>
      <c r="S69" s="6">
        <v>1</v>
      </c>
      <c r="T69" s="7" t="s">
        <v>122</v>
      </c>
      <c r="U69" s="7" t="s">
        <v>123</v>
      </c>
      <c r="V69" s="6" t="s">
        <v>71</v>
      </c>
      <c r="W69" s="231">
        <v>600000000</v>
      </c>
      <c r="X69" s="231">
        <v>450000000</v>
      </c>
      <c r="Y69" s="6" t="s">
        <v>55</v>
      </c>
      <c r="Z69" s="6" t="s">
        <v>316</v>
      </c>
      <c r="AA69" s="6" t="s">
        <v>302</v>
      </c>
      <c r="AB69" s="7" t="s">
        <v>52</v>
      </c>
      <c r="AC69" s="6" t="s">
        <v>305</v>
      </c>
      <c r="AD69" s="6">
        <v>6017431444</v>
      </c>
      <c r="AE69" s="6" t="s">
        <v>306</v>
      </c>
      <c r="AF69" s="6" t="s">
        <v>50</v>
      </c>
      <c r="AG69" s="7" t="s">
        <v>50</v>
      </c>
      <c r="AH69" s="7" t="s">
        <v>50</v>
      </c>
      <c r="AI69" s="267" t="s">
        <v>55</v>
      </c>
      <c r="AJ69" s="278" t="s">
        <v>55</v>
      </c>
      <c r="AK69" s="47" t="s">
        <v>55</v>
      </c>
      <c r="AL69" s="49" t="s">
        <v>50</v>
      </c>
      <c r="AM69" s="48"/>
      <c r="AN69" s="71"/>
      <c r="AO69" s="71">
        <f t="shared" ref="AO69:AO132" si="2">W69-AN69</f>
        <v>600000000</v>
      </c>
      <c r="AP69" s="49" t="s">
        <v>50</v>
      </c>
      <c r="AQ69" s="280"/>
    </row>
    <row r="70" spans="1:43" ht="71.25" x14ac:dyDescent="0.25">
      <c r="A70" s="32">
        <v>67</v>
      </c>
      <c r="B70" s="32" t="s">
        <v>36</v>
      </c>
      <c r="C70" s="32" t="s">
        <v>56</v>
      </c>
      <c r="D70" s="32" t="s">
        <v>317</v>
      </c>
      <c r="E70" s="32" t="s">
        <v>318</v>
      </c>
      <c r="F70" s="32" t="s">
        <v>40</v>
      </c>
      <c r="G70" s="32" t="s">
        <v>106</v>
      </c>
      <c r="H70" s="77" t="s">
        <v>319</v>
      </c>
      <c r="I70" s="32" t="s">
        <v>320</v>
      </c>
      <c r="J70" s="32" t="s">
        <v>320</v>
      </c>
      <c r="K70" s="32" t="s">
        <v>302</v>
      </c>
      <c r="L70" s="32">
        <v>120</v>
      </c>
      <c r="M70" s="32" t="s">
        <v>302</v>
      </c>
      <c r="N70" s="17">
        <v>859564913</v>
      </c>
      <c r="O70" s="5">
        <v>81112501</v>
      </c>
      <c r="P70" s="6" t="s">
        <v>321</v>
      </c>
      <c r="Q70" s="11" t="s">
        <v>59</v>
      </c>
      <c r="R70" s="6" t="s">
        <v>87</v>
      </c>
      <c r="S70" s="6">
        <v>1</v>
      </c>
      <c r="T70" s="7" t="s">
        <v>122</v>
      </c>
      <c r="U70" s="7" t="s">
        <v>157</v>
      </c>
      <c r="V70" s="6" t="s">
        <v>71</v>
      </c>
      <c r="W70" s="231">
        <v>1400000000</v>
      </c>
      <c r="X70" s="231">
        <v>700000000</v>
      </c>
      <c r="Y70" s="7" t="s">
        <v>55</v>
      </c>
      <c r="Z70" s="6" t="s">
        <v>316</v>
      </c>
      <c r="AA70" s="6" t="s">
        <v>302</v>
      </c>
      <c r="AB70" s="7" t="s">
        <v>52</v>
      </c>
      <c r="AC70" s="6" t="s">
        <v>305</v>
      </c>
      <c r="AD70" s="6">
        <v>6017431444</v>
      </c>
      <c r="AE70" s="6" t="s">
        <v>306</v>
      </c>
      <c r="AF70" s="6" t="s">
        <v>50</v>
      </c>
      <c r="AG70" s="7" t="s">
        <v>50</v>
      </c>
      <c r="AH70" s="7" t="s">
        <v>50</v>
      </c>
      <c r="AI70" s="267" t="s">
        <v>55</v>
      </c>
      <c r="AJ70" s="278" t="s">
        <v>55</v>
      </c>
      <c r="AK70" s="47" t="s">
        <v>55</v>
      </c>
      <c r="AL70" s="49" t="s">
        <v>50</v>
      </c>
      <c r="AM70" s="48"/>
      <c r="AN70" s="71"/>
      <c r="AO70" s="71">
        <f t="shared" si="2"/>
        <v>1400000000</v>
      </c>
      <c r="AP70" s="49" t="s">
        <v>50</v>
      </c>
      <c r="AQ70" s="280"/>
    </row>
    <row r="71" spans="1:43" ht="114" x14ac:dyDescent="0.25">
      <c r="A71" s="32">
        <v>68</v>
      </c>
      <c r="B71" s="32" t="s">
        <v>36</v>
      </c>
      <c r="C71" s="32" t="s">
        <v>56</v>
      </c>
      <c r="D71" s="32" t="s">
        <v>322</v>
      </c>
      <c r="E71" s="32" t="s">
        <v>323</v>
      </c>
      <c r="F71" s="32" t="s">
        <v>40</v>
      </c>
      <c r="G71" s="32" t="s">
        <v>106</v>
      </c>
      <c r="H71" s="77" t="s">
        <v>324</v>
      </c>
      <c r="I71" s="32" t="s">
        <v>325</v>
      </c>
      <c r="J71" s="32" t="s">
        <v>325</v>
      </c>
      <c r="K71" s="32" t="s">
        <v>302</v>
      </c>
      <c r="L71" s="32">
        <v>120</v>
      </c>
      <c r="M71" s="32" t="s">
        <v>302</v>
      </c>
      <c r="N71" s="17">
        <v>500000000</v>
      </c>
      <c r="O71" s="5">
        <v>81112502</v>
      </c>
      <c r="P71" s="6" t="s">
        <v>326</v>
      </c>
      <c r="Q71" s="11" t="s">
        <v>59</v>
      </c>
      <c r="R71" s="6" t="s">
        <v>87</v>
      </c>
      <c r="S71" s="6">
        <v>1</v>
      </c>
      <c r="T71" s="7" t="s">
        <v>122</v>
      </c>
      <c r="U71" s="7" t="s">
        <v>157</v>
      </c>
      <c r="V71" s="6" t="s">
        <v>71</v>
      </c>
      <c r="W71" s="231">
        <v>3000000000</v>
      </c>
      <c r="X71" s="231">
        <v>500000000</v>
      </c>
      <c r="Y71" s="7" t="s">
        <v>55</v>
      </c>
      <c r="Z71" s="6" t="s">
        <v>316</v>
      </c>
      <c r="AA71" s="6" t="s">
        <v>302</v>
      </c>
      <c r="AB71" s="7" t="s">
        <v>52</v>
      </c>
      <c r="AC71" s="6" t="s">
        <v>305</v>
      </c>
      <c r="AD71" s="6">
        <v>6017431444</v>
      </c>
      <c r="AE71" s="6" t="s">
        <v>306</v>
      </c>
      <c r="AF71" s="6" t="s">
        <v>50</v>
      </c>
      <c r="AG71" s="7" t="s">
        <v>50</v>
      </c>
      <c r="AH71" s="7" t="s">
        <v>50</v>
      </c>
      <c r="AI71" s="267" t="s">
        <v>55</v>
      </c>
      <c r="AJ71" s="278" t="s">
        <v>55</v>
      </c>
      <c r="AK71" s="47" t="s">
        <v>50</v>
      </c>
      <c r="AL71" s="49" t="s">
        <v>50</v>
      </c>
      <c r="AM71" s="48"/>
      <c r="AN71" s="71"/>
      <c r="AO71" s="71">
        <f t="shared" si="2"/>
        <v>3000000000</v>
      </c>
      <c r="AP71" s="49" t="s">
        <v>632</v>
      </c>
      <c r="AQ71" s="280">
        <f>VLOOKUP(AP71,[1]Hoja2!$B:$W,18,0)</f>
        <v>45920</v>
      </c>
    </row>
    <row r="72" spans="1:43" ht="99.75" x14ac:dyDescent="0.25">
      <c r="A72" s="32">
        <v>69</v>
      </c>
      <c r="B72" s="32" t="s">
        <v>36</v>
      </c>
      <c r="C72" s="32" t="s">
        <v>56</v>
      </c>
      <c r="D72" s="32" t="s">
        <v>311</v>
      </c>
      <c r="E72" s="32" t="s">
        <v>312</v>
      </c>
      <c r="F72" s="32" t="s">
        <v>40</v>
      </c>
      <c r="G72" s="32" t="s">
        <v>106</v>
      </c>
      <c r="H72" s="77" t="s">
        <v>174</v>
      </c>
      <c r="I72" s="32" t="s">
        <v>313</v>
      </c>
      <c r="J72" s="32" t="s">
        <v>313</v>
      </c>
      <c r="K72" s="32" t="s">
        <v>302</v>
      </c>
      <c r="L72" s="32">
        <v>120</v>
      </c>
      <c r="M72" s="32" t="s">
        <v>302</v>
      </c>
      <c r="N72" s="78">
        <v>1929727728</v>
      </c>
      <c r="O72" s="5">
        <v>81112400</v>
      </c>
      <c r="P72" s="6" t="s">
        <v>327</v>
      </c>
      <c r="Q72" s="11" t="s">
        <v>59</v>
      </c>
      <c r="R72" s="6" t="s">
        <v>87</v>
      </c>
      <c r="S72" s="6">
        <v>1</v>
      </c>
      <c r="T72" s="7" t="s">
        <v>122</v>
      </c>
      <c r="U72" s="7" t="s">
        <v>157</v>
      </c>
      <c r="V72" s="6" t="s">
        <v>71</v>
      </c>
      <c r="W72" s="231">
        <v>1950000000</v>
      </c>
      <c r="X72" s="231">
        <v>975000000</v>
      </c>
      <c r="Y72" s="7" t="s">
        <v>55</v>
      </c>
      <c r="Z72" s="6" t="s">
        <v>316</v>
      </c>
      <c r="AA72" s="6" t="s">
        <v>302</v>
      </c>
      <c r="AB72" s="7" t="s">
        <v>52</v>
      </c>
      <c r="AC72" s="6" t="s">
        <v>305</v>
      </c>
      <c r="AD72" s="6">
        <v>6017431444</v>
      </c>
      <c r="AE72" s="6" t="s">
        <v>306</v>
      </c>
      <c r="AF72" s="6" t="s">
        <v>50</v>
      </c>
      <c r="AG72" s="7" t="s">
        <v>50</v>
      </c>
      <c r="AH72" s="7" t="s">
        <v>50</v>
      </c>
      <c r="AI72" s="267" t="s">
        <v>55</v>
      </c>
      <c r="AJ72" s="278" t="s">
        <v>55</v>
      </c>
      <c r="AK72" s="47" t="s">
        <v>50</v>
      </c>
      <c r="AL72" s="49" t="s">
        <v>50</v>
      </c>
      <c r="AM72" s="48"/>
      <c r="AN72" s="71"/>
      <c r="AO72" s="71">
        <f t="shared" si="2"/>
        <v>1950000000</v>
      </c>
      <c r="AP72" s="49" t="s">
        <v>633</v>
      </c>
      <c r="AQ72" s="280">
        <f>VLOOKUP(AP72,[1]Hoja2!$B:$W,18,0)</f>
        <v>45835</v>
      </c>
    </row>
    <row r="73" spans="1:43" ht="71.25" x14ac:dyDescent="0.25">
      <c r="A73" s="32">
        <v>70</v>
      </c>
      <c r="B73" s="32" t="s">
        <v>36</v>
      </c>
      <c r="C73" s="32" t="s">
        <v>56</v>
      </c>
      <c r="D73" s="32" t="s">
        <v>317</v>
      </c>
      <c r="E73" s="32" t="s">
        <v>318</v>
      </c>
      <c r="F73" s="32" t="s">
        <v>40</v>
      </c>
      <c r="G73" s="32" t="s">
        <v>106</v>
      </c>
      <c r="H73" s="77" t="s">
        <v>319</v>
      </c>
      <c r="I73" s="32" t="s">
        <v>320</v>
      </c>
      <c r="J73" s="32" t="s">
        <v>320</v>
      </c>
      <c r="K73" s="32" t="s">
        <v>302</v>
      </c>
      <c r="L73" s="32">
        <v>120</v>
      </c>
      <c r="M73" s="32" t="s">
        <v>302</v>
      </c>
      <c r="N73" s="78">
        <v>859564913</v>
      </c>
      <c r="O73" s="5" t="s">
        <v>328</v>
      </c>
      <c r="P73" s="6" t="s">
        <v>329</v>
      </c>
      <c r="Q73" s="11" t="s">
        <v>224</v>
      </c>
      <c r="R73" s="6" t="s">
        <v>225</v>
      </c>
      <c r="S73" s="6">
        <v>1</v>
      </c>
      <c r="T73" s="7" t="s">
        <v>122</v>
      </c>
      <c r="U73" s="7" t="s">
        <v>111</v>
      </c>
      <c r="V73" s="6" t="s">
        <v>71</v>
      </c>
      <c r="W73" s="231">
        <v>35000000</v>
      </c>
      <c r="X73" s="231">
        <v>35000000</v>
      </c>
      <c r="Y73" s="7" t="s">
        <v>50</v>
      </c>
      <c r="Z73" s="7" t="s">
        <v>50</v>
      </c>
      <c r="AA73" s="6" t="s">
        <v>302</v>
      </c>
      <c r="AB73" s="7" t="s">
        <v>52</v>
      </c>
      <c r="AC73" s="6" t="s">
        <v>305</v>
      </c>
      <c r="AD73" s="6">
        <v>6017431444</v>
      </c>
      <c r="AE73" s="6" t="s">
        <v>306</v>
      </c>
      <c r="AF73" s="6" t="s">
        <v>50</v>
      </c>
      <c r="AG73" s="7" t="s">
        <v>50</v>
      </c>
      <c r="AH73" s="7" t="s">
        <v>50</v>
      </c>
      <c r="AI73" s="267" t="s">
        <v>55</v>
      </c>
      <c r="AJ73" s="278" t="s">
        <v>55</v>
      </c>
      <c r="AK73" s="47" t="s">
        <v>50</v>
      </c>
      <c r="AL73" s="49" t="s">
        <v>50</v>
      </c>
      <c r="AM73" s="48"/>
      <c r="AN73" s="71"/>
      <c r="AO73" s="71">
        <f t="shared" si="2"/>
        <v>35000000</v>
      </c>
      <c r="AP73" s="49" t="s">
        <v>634</v>
      </c>
      <c r="AQ73" s="280">
        <f>VLOOKUP(AP73,[1]Hoja2!$B:$W,18,0)</f>
        <v>45943</v>
      </c>
    </row>
    <row r="74" spans="1:43" ht="71.25" x14ac:dyDescent="0.25">
      <c r="A74" s="32">
        <v>71</v>
      </c>
      <c r="B74" s="32" t="s">
        <v>36</v>
      </c>
      <c r="C74" s="32" t="s">
        <v>56</v>
      </c>
      <c r="D74" s="32" t="s">
        <v>317</v>
      </c>
      <c r="E74" s="32" t="s">
        <v>318</v>
      </c>
      <c r="F74" s="32" t="s">
        <v>40</v>
      </c>
      <c r="G74" s="32" t="s">
        <v>106</v>
      </c>
      <c r="H74" s="32" t="s">
        <v>319</v>
      </c>
      <c r="I74" s="32" t="s">
        <v>320</v>
      </c>
      <c r="J74" s="32" t="s">
        <v>320</v>
      </c>
      <c r="K74" s="32" t="s">
        <v>302</v>
      </c>
      <c r="L74" s="32">
        <v>120</v>
      </c>
      <c r="M74" s="32" t="s">
        <v>302</v>
      </c>
      <c r="N74" s="17">
        <v>859564913</v>
      </c>
      <c r="O74" s="5">
        <v>81112200</v>
      </c>
      <c r="P74" s="6" t="s">
        <v>330</v>
      </c>
      <c r="Q74" s="11" t="s">
        <v>121</v>
      </c>
      <c r="R74" s="6" t="s">
        <v>282</v>
      </c>
      <c r="S74" s="6">
        <v>1</v>
      </c>
      <c r="T74" s="7" t="s">
        <v>122</v>
      </c>
      <c r="U74" s="6" t="s">
        <v>48</v>
      </c>
      <c r="V74" s="6" t="s">
        <v>71</v>
      </c>
      <c r="W74" s="231">
        <v>140000000</v>
      </c>
      <c r="X74" s="231">
        <v>140000000</v>
      </c>
      <c r="Y74" s="7" t="s">
        <v>50</v>
      </c>
      <c r="Z74" s="6"/>
      <c r="AA74" s="6" t="s">
        <v>302</v>
      </c>
      <c r="AB74" s="7" t="s">
        <v>52</v>
      </c>
      <c r="AC74" s="6" t="s">
        <v>305</v>
      </c>
      <c r="AD74" s="6">
        <v>6017431444</v>
      </c>
      <c r="AE74" s="6" t="s">
        <v>306</v>
      </c>
      <c r="AF74" s="6" t="s">
        <v>50</v>
      </c>
      <c r="AG74" s="7" t="s">
        <v>50</v>
      </c>
      <c r="AH74" s="7" t="s">
        <v>50</v>
      </c>
      <c r="AI74" s="267" t="s">
        <v>55</v>
      </c>
      <c r="AJ74" s="278" t="s">
        <v>55</v>
      </c>
      <c r="AK74" s="47" t="s">
        <v>50</v>
      </c>
      <c r="AL74" s="49" t="s">
        <v>50</v>
      </c>
      <c r="AM74" s="48"/>
      <c r="AN74" s="71"/>
      <c r="AO74" s="71">
        <f t="shared" si="2"/>
        <v>140000000</v>
      </c>
      <c r="AP74" s="49" t="s">
        <v>635</v>
      </c>
      <c r="AQ74" s="280">
        <f>VLOOKUP(AP74,[1]Hoja2!$B:$W,18,0)</f>
        <v>45873</v>
      </c>
    </row>
    <row r="75" spans="1:43" ht="128.25" x14ac:dyDescent="0.25">
      <c r="A75" s="32">
        <v>72</v>
      </c>
      <c r="B75" s="32" t="s">
        <v>36</v>
      </c>
      <c r="C75" s="32" t="s">
        <v>56</v>
      </c>
      <c r="D75" s="32" t="s">
        <v>298</v>
      </c>
      <c r="E75" s="32" t="s">
        <v>299</v>
      </c>
      <c r="F75" s="32" t="s">
        <v>40</v>
      </c>
      <c r="G75" s="32" t="s">
        <v>106</v>
      </c>
      <c r="H75" s="32" t="s">
        <v>300</v>
      </c>
      <c r="I75" s="32" t="s">
        <v>301</v>
      </c>
      <c r="J75" s="32" t="s">
        <v>301</v>
      </c>
      <c r="K75" s="32" t="s">
        <v>302</v>
      </c>
      <c r="L75" s="32">
        <v>120</v>
      </c>
      <c r="M75" s="32" t="s">
        <v>302</v>
      </c>
      <c r="N75" s="17">
        <v>1324678563</v>
      </c>
      <c r="O75" s="5" t="s">
        <v>331</v>
      </c>
      <c r="P75" s="6" t="s">
        <v>332</v>
      </c>
      <c r="Q75" s="11" t="s">
        <v>59</v>
      </c>
      <c r="R75" s="6" t="s">
        <v>87</v>
      </c>
      <c r="S75" s="6">
        <v>1</v>
      </c>
      <c r="T75" s="7" t="s">
        <v>122</v>
      </c>
      <c r="U75" s="6" t="s">
        <v>111</v>
      </c>
      <c r="V75" s="6" t="s">
        <v>71</v>
      </c>
      <c r="W75" s="231">
        <v>110000000</v>
      </c>
      <c r="X75" s="231">
        <v>110000000</v>
      </c>
      <c r="Y75" s="7" t="s">
        <v>50</v>
      </c>
      <c r="Z75" s="6" t="s">
        <v>50</v>
      </c>
      <c r="AA75" s="6" t="s">
        <v>302</v>
      </c>
      <c r="AB75" s="7" t="s">
        <v>52</v>
      </c>
      <c r="AC75" s="6" t="s">
        <v>305</v>
      </c>
      <c r="AD75" s="6">
        <v>6017431444</v>
      </c>
      <c r="AE75" s="6" t="s">
        <v>306</v>
      </c>
      <c r="AF75" s="6" t="s">
        <v>50</v>
      </c>
      <c r="AG75" s="7" t="s">
        <v>50</v>
      </c>
      <c r="AH75" s="7" t="s">
        <v>50</v>
      </c>
      <c r="AI75" s="267" t="s">
        <v>55</v>
      </c>
      <c r="AJ75" s="278" t="s">
        <v>55</v>
      </c>
      <c r="AK75" s="47" t="s">
        <v>50</v>
      </c>
      <c r="AL75" s="49" t="s">
        <v>50</v>
      </c>
      <c r="AM75" s="48"/>
      <c r="AN75" s="71"/>
      <c r="AO75" s="71">
        <f t="shared" si="2"/>
        <v>110000000</v>
      </c>
      <c r="AP75" s="49" t="s">
        <v>50</v>
      </c>
      <c r="AQ75" s="280"/>
    </row>
    <row r="76" spans="1:43" ht="99.75" x14ac:dyDescent="0.25">
      <c r="A76" s="32">
        <v>73</v>
      </c>
      <c r="B76" s="32" t="s">
        <v>36</v>
      </c>
      <c r="C76" s="32" t="s">
        <v>56</v>
      </c>
      <c r="D76" s="32" t="s">
        <v>311</v>
      </c>
      <c r="E76" s="32" t="s">
        <v>312</v>
      </c>
      <c r="F76" s="32" t="s">
        <v>40</v>
      </c>
      <c r="G76" s="32" t="s">
        <v>106</v>
      </c>
      <c r="H76" s="32" t="s">
        <v>174</v>
      </c>
      <c r="I76" s="32" t="s">
        <v>313</v>
      </c>
      <c r="J76" s="32" t="s">
        <v>313</v>
      </c>
      <c r="K76" s="32" t="s">
        <v>302</v>
      </c>
      <c r="L76" s="32">
        <v>120</v>
      </c>
      <c r="M76" s="32" t="s">
        <v>302</v>
      </c>
      <c r="N76" s="17">
        <v>1929727728</v>
      </c>
      <c r="O76" s="5" t="s">
        <v>333</v>
      </c>
      <c r="P76" s="6" t="s">
        <v>334</v>
      </c>
      <c r="Q76" s="11" t="s">
        <v>224</v>
      </c>
      <c r="R76" s="6" t="s">
        <v>225</v>
      </c>
      <c r="S76" s="6">
        <v>1</v>
      </c>
      <c r="T76" s="7" t="s">
        <v>122</v>
      </c>
      <c r="U76" s="6" t="s">
        <v>111</v>
      </c>
      <c r="V76" s="6" t="s">
        <v>71</v>
      </c>
      <c r="W76" s="231">
        <v>200000000</v>
      </c>
      <c r="X76" s="231">
        <v>200000000</v>
      </c>
      <c r="Y76" s="7" t="s">
        <v>50</v>
      </c>
      <c r="Z76" s="6" t="s">
        <v>50</v>
      </c>
      <c r="AA76" s="6" t="s">
        <v>302</v>
      </c>
      <c r="AB76" s="7" t="s">
        <v>52</v>
      </c>
      <c r="AC76" s="6" t="s">
        <v>305</v>
      </c>
      <c r="AD76" s="6">
        <v>6017431444</v>
      </c>
      <c r="AE76" s="6" t="s">
        <v>306</v>
      </c>
      <c r="AF76" s="6" t="s">
        <v>50</v>
      </c>
      <c r="AG76" s="7" t="s">
        <v>50</v>
      </c>
      <c r="AH76" s="7" t="s">
        <v>50</v>
      </c>
      <c r="AI76" s="267" t="s">
        <v>55</v>
      </c>
      <c r="AJ76" s="278" t="s">
        <v>55</v>
      </c>
      <c r="AK76" s="47" t="s">
        <v>50</v>
      </c>
      <c r="AL76" s="49" t="s">
        <v>50</v>
      </c>
      <c r="AM76" s="48"/>
      <c r="AN76" s="71"/>
      <c r="AO76" s="71">
        <f t="shared" si="2"/>
        <v>200000000</v>
      </c>
      <c r="AP76" s="49" t="s">
        <v>636</v>
      </c>
      <c r="AQ76" s="280">
        <f>VLOOKUP(AP76,[1]Hoja2!$B:$W,18,0)</f>
        <v>45989</v>
      </c>
    </row>
    <row r="77" spans="1:43" ht="71.25" x14ac:dyDescent="0.25">
      <c r="A77" s="32">
        <v>74</v>
      </c>
      <c r="B77" s="32" t="s">
        <v>36</v>
      </c>
      <c r="C77" s="32" t="s">
        <v>56</v>
      </c>
      <c r="D77" s="32" t="s">
        <v>335</v>
      </c>
      <c r="E77" s="32" t="s">
        <v>318</v>
      </c>
      <c r="F77" s="32" t="s">
        <v>40</v>
      </c>
      <c r="G77" s="32" t="s">
        <v>106</v>
      </c>
      <c r="H77" s="32" t="s">
        <v>319</v>
      </c>
      <c r="I77" s="32" t="s">
        <v>320</v>
      </c>
      <c r="J77" s="32" t="s">
        <v>320</v>
      </c>
      <c r="K77" s="32" t="s">
        <v>302</v>
      </c>
      <c r="L77" s="32">
        <v>120</v>
      </c>
      <c r="M77" s="32" t="s">
        <v>302</v>
      </c>
      <c r="N77" s="17">
        <v>336600000</v>
      </c>
      <c r="O77" s="5" t="s">
        <v>336</v>
      </c>
      <c r="P77" s="6" t="s">
        <v>337</v>
      </c>
      <c r="Q77" s="11" t="s">
        <v>282</v>
      </c>
      <c r="R77" s="11" t="s">
        <v>224</v>
      </c>
      <c r="S77" s="6">
        <v>1</v>
      </c>
      <c r="T77" s="7" t="s">
        <v>122</v>
      </c>
      <c r="U77" s="6" t="s">
        <v>111</v>
      </c>
      <c r="V77" s="6" t="s">
        <v>112</v>
      </c>
      <c r="W77" s="231">
        <v>500000000</v>
      </c>
      <c r="X77" s="231">
        <v>150000000</v>
      </c>
      <c r="Y77" s="6" t="s">
        <v>55</v>
      </c>
      <c r="Z77" s="6" t="s">
        <v>124</v>
      </c>
      <c r="AA77" s="6" t="s">
        <v>302</v>
      </c>
      <c r="AB77" s="7" t="s">
        <v>52</v>
      </c>
      <c r="AC77" s="6" t="s">
        <v>305</v>
      </c>
      <c r="AD77" s="6">
        <v>6017431444</v>
      </c>
      <c r="AE77" s="6" t="s">
        <v>306</v>
      </c>
      <c r="AF77" s="6" t="s">
        <v>50</v>
      </c>
      <c r="AG77" s="7" t="s">
        <v>50</v>
      </c>
      <c r="AH77" s="7" t="s">
        <v>50</v>
      </c>
      <c r="AI77" s="267" t="s">
        <v>55</v>
      </c>
      <c r="AJ77" s="278" t="s">
        <v>55</v>
      </c>
      <c r="AK77" s="47" t="s">
        <v>50</v>
      </c>
      <c r="AL77" s="49" t="s">
        <v>50</v>
      </c>
      <c r="AM77" s="48"/>
      <c r="AN77" s="71"/>
      <c r="AO77" s="71">
        <f t="shared" si="2"/>
        <v>500000000</v>
      </c>
      <c r="AP77" s="49" t="s">
        <v>637</v>
      </c>
      <c r="AQ77" s="280">
        <f>VLOOKUP(AP77,[1]Hoja2!$B:$W,18,0)</f>
        <v>45957</v>
      </c>
    </row>
    <row r="78" spans="1:43" ht="99.75" x14ac:dyDescent="0.25">
      <c r="A78" s="32">
        <v>75</v>
      </c>
      <c r="B78" s="32" t="s">
        <v>36</v>
      </c>
      <c r="C78" s="32" t="s">
        <v>56</v>
      </c>
      <c r="D78" s="32" t="s">
        <v>338</v>
      </c>
      <c r="E78" s="32" t="s">
        <v>312</v>
      </c>
      <c r="F78" s="32" t="s">
        <v>40</v>
      </c>
      <c r="G78" s="32" t="s">
        <v>106</v>
      </c>
      <c r="H78" s="32" t="s">
        <v>174</v>
      </c>
      <c r="I78" s="32" t="s">
        <v>175</v>
      </c>
      <c r="J78" s="32" t="s">
        <v>175</v>
      </c>
      <c r="K78" s="32" t="s">
        <v>302</v>
      </c>
      <c r="L78" s="32">
        <v>120</v>
      </c>
      <c r="M78" s="32" t="s">
        <v>302</v>
      </c>
      <c r="N78" s="17">
        <v>42893792</v>
      </c>
      <c r="O78" s="5">
        <v>81112501</v>
      </c>
      <c r="P78" s="6" t="s">
        <v>339</v>
      </c>
      <c r="Q78" s="11" t="s">
        <v>224</v>
      </c>
      <c r="R78" s="6" t="s">
        <v>225</v>
      </c>
      <c r="S78" s="6">
        <v>1</v>
      </c>
      <c r="T78" s="7" t="s">
        <v>122</v>
      </c>
      <c r="U78" s="6" t="s">
        <v>111</v>
      </c>
      <c r="V78" s="6" t="s">
        <v>112</v>
      </c>
      <c r="W78" s="231">
        <v>15000000</v>
      </c>
      <c r="X78" s="231">
        <v>15000000</v>
      </c>
      <c r="Y78" s="7" t="s">
        <v>50</v>
      </c>
      <c r="Z78" s="6" t="s">
        <v>50</v>
      </c>
      <c r="AA78" s="6" t="s">
        <v>302</v>
      </c>
      <c r="AB78" s="7" t="s">
        <v>52</v>
      </c>
      <c r="AC78" s="6" t="s">
        <v>305</v>
      </c>
      <c r="AD78" s="6">
        <v>6017431444</v>
      </c>
      <c r="AE78" s="6" t="s">
        <v>306</v>
      </c>
      <c r="AF78" s="6" t="s">
        <v>50</v>
      </c>
      <c r="AG78" s="7" t="s">
        <v>50</v>
      </c>
      <c r="AH78" s="7" t="s">
        <v>50</v>
      </c>
      <c r="AI78" s="267" t="s">
        <v>55</v>
      </c>
      <c r="AJ78" s="278" t="s">
        <v>55</v>
      </c>
      <c r="AK78" s="47" t="s">
        <v>50</v>
      </c>
      <c r="AL78" s="49" t="s">
        <v>50</v>
      </c>
      <c r="AM78" s="48"/>
      <c r="AN78" s="71"/>
      <c r="AO78" s="71">
        <f t="shared" si="2"/>
        <v>15000000</v>
      </c>
      <c r="AP78" s="49" t="s">
        <v>50</v>
      </c>
      <c r="AQ78" s="280"/>
    </row>
    <row r="79" spans="1:43" ht="99.75" x14ac:dyDescent="0.25">
      <c r="A79" s="32">
        <v>76</v>
      </c>
      <c r="B79" s="32" t="s">
        <v>36</v>
      </c>
      <c r="C79" s="32" t="s">
        <v>56</v>
      </c>
      <c r="D79" s="32" t="s">
        <v>338</v>
      </c>
      <c r="E79" s="32" t="s">
        <v>312</v>
      </c>
      <c r="F79" s="32" t="s">
        <v>40</v>
      </c>
      <c r="G79" s="32" t="s">
        <v>106</v>
      </c>
      <c r="H79" s="32" t="s">
        <v>174</v>
      </c>
      <c r="I79" s="32" t="s">
        <v>175</v>
      </c>
      <c r="J79" s="32" t="s">
        <v>175</v>
      </c>
      <c r="K79" s="32" t="s">
        <v>302</v>
      </c>
      <c r="L79" s="32">
        <v>120</v>
      </c>
      <c r="M79" s="32" t="s">
        <v>302</v>
      </c>
      <c r="N79" s="17">
        <v>629750000</v>
      </c>
      <c r="O79" s="5" t="s">
        <v>340</v>
      </c>
      <c r="P79" s="6" t="s">
        <v>341</v>
      </c>
      <c r="Q79" s="11" t="s">
        <v>282</v>
      </c>
      <c r="R79" s="6" t="s">
        <v>224</v>
      </c>
      <c r="S79" s="6">
        <v>1</v>
      </c>
      <c r="T79" s="7" t="s">
        <v>122</v>
      </c>
      <c r="U79" s="7" t="s">
        <v>123</v>
      </c>
      <c r="V79" s="6" t="s">
        <v>112</v>
      </c>
      <c r="W79" s="231">
        <v>25000000</v>
      </c>
      <c r="X79" s="231">
        <v>25000000</v>
      </c>
      <c r="Y79" s="7" t="s">
        <v>50</v>
      </c>
      <c r="Z79" s="6" t="s">
        <v>316</v>
      </c>
      <c r="AA79" s="6" t="s">
        <v>302</v>
      </c>
      <c r="AB79" s="7" t="s">
        <v>52</v>
      </c>
      <c r="AC79" s="6" t="s">
        <v>305</v>
      </c>
      <c r="AD79" s="6">
        <v>6017431444</v>
      </c>
      <c r="AE79" s="6" t="s">
        <v>306</v>
      </c>
      <c r="AF79" s="6" t="s">
        <v>50</v>
      </c>
      <c r="AG79" s="7" t="s">
        <v>50</v>
      </c>
      <c r="AH79" s="7" t="s">
        <v>50</v>
      </c>
      <c r="AI79" s="267" t="s">
        <v>55</v>
      </c>
      <c r="AJ79" s="278" t="s">
        <v>55</v>
      </c>
      <c r="AK79" s="47" t="s">
        <v>50</v>
      </c>
      <c r="AL79" s="49" t="s">
        <v>50</v>
      </c>
      <c r="AM79" s="48"/>
      <c r="AN79" s="71"/>
      <c r="AO79" s="71">
        <f t="shared" si="2"/>
        <v>25000000</v>
      </c>
      <c r="AP79" s="49" t="s">
        <v>50</v>
      </c>
      <c r="AQ79" s="280"/>
    </row>
    <row r="80" spans="1:43" ht="85.5" x14ac:dyDescent="0.25">
      <c r="A80" s="32">
        <v>77</v>
      </c>
      <c r="B80" s="32" t="s">
        <v>94</v>
      </c>
      <c r="C80" s="32" t="s">
        <v>37</v>
      </c>
      <c r="D80" s="32" t="s">
        <v>342</v>
      </c>
      <c r="E80" s="32" t="s">
        <v>268</v>
      </c>
      <c r="F80" s="32" t="s">
        <v>40</v>
      </c>
      <c r="G80" s="32" t="s">
        <v>64</v>
      </c>
      <c r="H80" s="32" t="s">
        <v>65</v>
      </c>
      <c r="I80" s="32" t="s">
        <v>66</v>
      </c>
      <c r="J80" s="32" t="s">
        <v>66</v>
      </c>
      <c r="K80" s="32" t="s">
        <v>343</v>
      </c>
      <c r="L80" s="32">
        <v>108</v>
      </c>
      <c r="M80" s="32" t="s">
        <v>343</v>
      </c>
      <c r="N80" s="17">
        <v>22000000</v>
      </c>
      <c r="O80" s="5">
        <v>80111600</v>
      </c>
      <c r="P80" s="6" t="s">
        <v>344</v>
      </c>
      <c r="Q80" s="11" t="s">
        <v>79</v>
      </c>
      <c r="R80" s="6" t="s">
        <v>79</v>
      </c>
      <c r="S80" s="6">
        <v>9</v>
      </c>
      <c r="T80" s="6" t="s">
        <v>70</v>
      </c>
      <c r="U80" s="6" t="s">
        <v>48</v>
      </c>
      <c r="V80" s="6" t="s">
        <v>71</v>
      </c>
      <c r="W80" s="231">
        <v>41500000</v>
      </c>
      <c r="X80" s="231">
        <v>41500000</v>
      </c>
      <c r="Y80" s="7" t="s">
        <v>50</v>
      </c>
      <c r="Z80" s="7" t="s">
        <v>50</v>
      </c>
      <c r="AA80" s="6" t="s">
        <v>343</v>
      </c>
      <c r="AB80" s="7" t="s">
        <v>52</v>
      </c>
      <c r="AC80" s="6" t="s">
        <v>345</v>
      </c>
      <c r="AD80" s="6">
        <v>6017431444</v>
      </c>
      <c r="AE80" s="6" t="s">
        <v>346</v>
      </c>
      <c r="AF80" s="6" t="s">
        <v>50</v>
      </c>
      <c r="AG80" s="7" t="s">
        <v>50</v>
      </c>
      <c r="AH80" s="7" t="s">
        <v>50</v>
      </c>
      <c r="AI80" s="267" t="s">
        <v>55</v>
      </c>
      <c r="AJ80" s="278" t="s">
        <v>55</v>
      </c>
      <c r="AK80" s="47" t="s">
        <v>50</v>
      </c>
      <c r="AL80" s="49" t="s">
        <v>50</v>
      </c>
      <c r="AM80" s="48"/>
      <c r="AN80" s="71"/>
      <c r="AO80" s="71">
        <f t="shared" si="2"/>
        <v>41500000</v>
      </c>
      <c r="AP80" s="49" t="s">
        <v>50</v>
      </c>
      <c r="AQ80" s="280"/>
    </row>
    <row r="81" spans="1:43" ht="128.25" x14ac:dyDescent="0.25">
      <c r="A81" s="32">
        <v>78</v>
      </c>
      <c r="B81" s="56" t="s">
        <v>36</v>
      </c>
      <c r="C81" s="56" t="s">
        <v>37</v>
      </c>
      <c r="D81" s="32" t="s">
        <v>347</v>
      </c>
      <c r="E81" s="32" t="s">
        <v>348</v>
      </c>
      <c r="F81" s="32" t="s">
        <v>40</v>
      </c>
      <c r="G81" s="32" t="s">
        <v>64</v>
      </c>
      <c r="H81" s="32" t="s">
        <v>65</v>
      </c>
      <c r="I81" s="32" t="s">
        <v>66</v>
      </c>
      <c r="J81" s="32" t="s">
        <v>66</v>
      </c>
      <c r="K81" s="32" t="s">
        <v>349</v>
      </c>
      <c r="L81" s="32">
        <v>400</v>
      </c>
      <c r="M81" s="32" t="s">
        <v>349</v>
      </c>
      <c r="N81" s="17">
        <v>273500000</v>
      </c>
      <c r="O81" s="5">
        <v>80111600</v>
      </c>
      <c r="P81" s="59" t="s">
        <v>353</v>
      </c>
      <c r="Q81" s="58" t="s">
        <v>87</v>
      </c>
      <c r="R81" s="58" t="s">
        <v>79</v>
      </c>
      <c r="S81" s="58">
        <v>9</v>
      </c>
      <c r="T81" s="58" t="s">
        <v>70</v>
      </c>
      <c r="U81" s="6" t="s">
        <v>48</v>
      </c>
      <c r="V81" s="6" t="s">
        <v>49</v>
      </c>
      <c r="W81" s="234">
        <v>81000000</v>
      </c>
      <c r="X81" s="234">
        <v>81000000</v>
      </c>
      <c r="Y81" s="7" t="s">
        <v>50</v>
      </c>
      <c r="Z81" s="7" t="s">
        <v>50</v>
      </c>
      <c r="AA81" s="6" t="s">
        <v>349</v>
      </c>
      <c r="AB81" s="7" t="s">
        <v>52</v>
      </c>
      <c r="AC81" s="6" t="s">
        <v>350</v>
      </c>
      <c r="AD81" s="6">
        <v>6017431444</v>
      </c>
      <c r="AE81" s="6" t="s">
        <v>351</v>
      </c>
      <c r="AF81" s="6" t="s">
        <v>50</v>
      </c>
      <c r="AG81" s="7" t="s">
        <v>50</v>
      </c>
      <c r="AH81" s="7" t="s">
        <v>50</v>
      </c>
      <c r="AI81" s="267" t="s">
        <v>55</v>
      </c>
      <c r="AJ81" s="278" t="s">
        <v>55</v>
      </c>
      <c r="AK81" s="47" t="s">
        <v>55</v>
      </c>
      <c r="AL81" s="47" t="s">
        <v>50</v>
      </c>
      <c r="AM81" s="48" t="s">
        <v>609</v>
      </c>
      <c r="AN81" s="71"/>
      <c r="AO81" s="71">
        <f t="shared" si="2"/>
        <v>81000000</v>
      </c>
      <c r="AP81" s="49" t="s">
        <v>50</v>
      </c>
      <c r="AQ81" s="280"/>
    </row>
    <row r="82" spans="1:43" ht="128.25" x14ac:dyDescent="0.25">
      <c r="A82" s="32">
        <v>79</v>
      </c>
      <c r="B82" s="56" t="s">
        <v>94</v>
      </c>
      <c r="C82" s="56" t="s">
        <v>95</v>
      </c>
      <c r="D82" s="32" t="s">
        <v>347</v>
      </c>
      <c r="E82" s="32" t="s">
        <v>348</v>
      </c>
      <c r="F82" s="32" t="s">
        <v>40</v>
      </c>
      <c r="G82" s="32" t="s">
        <v>64</v>
      </c>
      <c r="H82" s="32" t="s">
        <v>65</v>
      </c>
      <c r="I82" s="32" t="s">
        <v>66</v>
      </c>
      <c r="J82" s="32" t="s">
        <v>66</v>
      </c>
      <c r="K82" s="32" t="s">
        <v>349</v>
      </c>
      <c r="L82" s="32">
        <v>400</v>
      </c>
      <c r="M82" s="32" t="s">
        <v>349</v>
      </c>
      <c r="N82" s="17">
        <v>273500000</v>
      </c>
      <c r="O82" s="5">
        <v>80111600</v>
      </c>
      <c r="P82" s="6" t="s">
        <v>352</v>
      </c>
      <c r="Q82" s="58" t="s">
        <v>87</v>
      </c>
      <c r="R82" s="58" t="s">
        <v>79</v>
      </c>
      <c r="S82" s="58">
        <v>9</v>
      </c>
      <c r="T82" s="58" t="s">
        <v>70</v>
      </c>
      <c r="U82" s="6" t="s">
        <v>48</v>
      </c>
      <c r="V82" s="6" t="s">
        <v>71</v>
      </c>
      <c r="W82" s="234">
        <v>99000000</v>
      </c>
      <c r="X82" s="234">
        <v>99000000</v>
      </c>
      <c r="Y82" s="7" t="s">
        <v>50</v>
      </c>
      <c r="Z82" s="7" t="s">
        <v>50</v>
      </c>
      <c r="AA82" s="6" t="s">
        <v>349</v>
      </c>
      <c r="AB82" s="7" t="s">
        <v>52</v>
      </c>
      <c r="AC82" s="6" t="s">
        <v>350</v>
      </c>
      <c r="AD82" s="6">
        <v>6017431444</v>
      </c>
      <c r="AE82" s="6" t="s">
        <v>351</v>
      </c>
      <c r="AF82" s="6" t="s">
        <v>50</v>
      </c>
      <c r="AG82" s="7" t="s">
        <v>50</v>
      </c>
      <c r="AH82" s="7" t="s">
        <v>50</v>
      </c>
      <c r="AI82" s="267" t="s">
        <v>55</v>
      </c>
      <c r="AJ82" s="278" t="s">
        <v>55</v>
      </c>
      <c r="AK82" s="47" t="s">
        <v>55</v>
      </c>
      <c r="AL82" s="49" t="s">
        <v>50</v>
      </c>
      <c r="AM82" s="48"/>
      <c r="AN82" s="71"/>
      <c r="AO82" s="71">
        <f t="shared" si="2"/>
        <v>99000000</v>
      </c>
      <c r="AP82" s="49" t="s">
        <v>50</v>
      </c>
      <c r="AQ82" s="280"/>
    </row>
    <row r="83" spans="1:43" ht="128.25" x14ac:dyDescent="0.25">
      <c r="A83" s="32">
        <v>80</v>
      </c>
      <c r="B83" s="32" t="s">
        <v>36</v>
      </c>
      <c r="C83" s="32" t="s">
        <v>37</v>
      </c>
      <c r="D83" s="32" t="s">
        <v>347</v>
      </c>
      <c r="E83" s="32" t="s">
        <v>348</v>
      </c>
      <c r="F83" s="32" t="s">
        <v>40</v>
      </c>
      <c r="G83" s="32" t="s">
        <v>64</v>
      </c>
      <c r="H83" s="32" t="s">
        <v>65</v>
      </c>
      <c r="I83" s="32" t="s">
        <v>66</v>
      </c>
      <c r="J83" s="32" t="s">
        <v>66</v>
      </c>
      <c r="K83" s="32" t="s">
        <v>349</v>
      </c>
      <c r="L83" s="32">
        <v>400</v>
      </c>
      <c r="M83" s="32" t="s">
        <v>349</v>
      </c>
      <c r="N83" s="17">
        <v>273500000</v>
      </c>
      <c r="O83" s="5">
        <v>80111600</v>
      </c>
      <c r="P83" s="6" t="s">
        <v>353</v>
      </c>
      <c r="Q83" s="58" t="s">
        <v>87</v>
      </c>
      <c r="R83" s="58" t="s">
        <v>79</v>
      </c>
      <c r="S83" s="58">
        <v>9</v>
      </c>
      <c r="T83" s="58" t="s">
        <v>70</v>
      </c>
      <c r="U83" s="6" t="s">
        <v>48</v>
      </c>
      <c r="V83" s="6" t="s">
        <v>71</v>
      </c>
      <c r="W83" s="234">
        <v>62100000</v>
      </c>
      <c r="X83" s="234">
        <v>62100000</v>
      </c>
      <c r="Y83" s="7" t="s">
        <v>50</v>
      </c>
      <c r="Z83" s="7" t="s">
        <v>50</v>
      </c>
      <c r="AA83" s="6" t="s">
        <v>349</v>
      </c>
      <c r="AB83" s="7" t="s">
        <v>52</v>
      </c>
      <c r="AC83" s="6" t="s">
        <v>350</v>
      </c>
      <c r="AD83" s="6">
        <v>6017431444</v>
      </c>
      <c r="AE83" s="6" t="s">
        <v>351</v>
      </c>
      <c r="AF83" s="6" t="s">
        <v>50</v>
      </c>
      <c r="AG83" s="7" t="s">
        <v>50</v>
      </c>
      <c r="AH83" s="7" t="s">
        <v>50</v>
      </c>
      <c r="AI83" s="267" t="s">
        <v>55</v>
      </c>
      <c r="AJ83" s="278" t="s">
        <v>55</v>
      </c>
      <c r="AK83" s="47" t="s">
        <v>55</v>
      </c>
      <c r="AL83" s="49" t="s">
        <v>50</v>
      </c>
      <c r="AM83" s="48"/>
      <c r="AN83" s="71"/>
      <c r="AO83" s="71">
        <f t="shared" si="2"/>
        <v>62100000</v>
      </c>
      <c r="AP83" s="49" t="s">
        <v>50</v>
      </c>
      <c r="AQ83" s="280"/>
    </row>
    <row r="84" spans="1:43" s="41" customFormat="1" ht="85.5" x14ac:dyDescent="0.25">
      <c r="A84" s="32">
        <v>81</v>
      </c>
      <c r="B84" s="32" t="s">
        <v>36</v>
      </c>
      <c r="C84" s="32" t="s">
        <v>37</v>
      </c>
      <c r="D84" s="32" t="s">
        <v>354</v>
      </c>
      <c r="E84" s="32" t="s">
        <v>355</v>
      </c>
      <c r="F84" s="32" t="s">
        <v>40</v>
      </c>
      <c r="G84" s="32" t="s">
        <v>41</v>
      </c>
      <c r="H84" s="32" t="s">
        <v>42</v>
      </c>
      <c r="I84" s="32" t="s">
        <v>43</v>
      </c>
      <c r="J84" s="32" t="s">
        <v>43</v>
      </c>
      <c r="K84" s="32" t="s">
        <v>356</v>
      </c>
      <c r="L84" s="32">
        <v>500</v>
      </c>
      <c r="M84" s="32" t="s">
        <v>356</v>
      </c>
      <c r="N84" s="17">
        <v>539350000</v>
      </c>
      <c r="O84" s="23">
        <v>80111600</v>
      </c>
      <c r="P84" s="18" t="s">
        <v>441</v>
      </c>
      <c r="Q84" s="13" t="s">
        <v>87</v>
      </c>
      <c r="R84" s="13" t="s">
        <v>87</v>
      </c>
      <c r="S84" s="18">
        <v>315</v>
      </c>
      <c r="T84" s="18" t="s">
        <v>47</v>
      </c>
      <c r="U84" s="18" t="s">
        <v>48</v>
      </c>
      <c r="V84" s="18" t="s">
        <v>49</v>
      </c>
      <c r="W84" s="232">
        <v>157500000</v>
      </c>
      <c r="X84" s="232">
        <v>157500000</v>
      </c>
      <c r="Y84" s="22" t="s">
        <v>50</v>
      </c>
      <c r="Z84" s="22" t="s">
        <v>50</v>
      </c>
      <c r="AA84" s="18" t="s">
        <v>356</v>
      </c>
      <c r="AB84" s="22" t="s">
        <v>52</v>
      </c>
      <c r="AC84" s="18" t="s">
        <v>357</v>
      </c>
      <c r="AD84" s="18">
        <v>6017431444</v>
      </c>
      <c r="AE84" s="18" t="s">
        <v>358</v>
      </c>
      <c r="AF84" s="18" t="s">
        <v>50</v>
      </c>
      <c r="AG84" s="22" t="s">
        <v>50</v>
      </c>
      <c r="AH84" s="22" t="s">
        <v>50</v>
      </c>
      <c r="AI84" s="268" t="s">
        <v>55</v>
      </c>
      <c r="AJ84" s="278" t="s">
        <v>55</v>
      </c>
      <c r="AK84" s="47" t="s">
        <v>519</v>
      </c>
      <c r="AL84" s="49" t="s">
        <v>50</v>
      </c>
      <c r="AM84" s="33"/>
      <c r="AN84" s="72"/>
      <c r="AO84" s="71">
        <f t="shared" si="2"/>
        <v>157500000</v>
      </c>
      <c r="AP84" s="49" t="s">
        <v>50</v>
      </c>
      <c r="AQ84" s="280"/>
    </row>
    <row r="85" spans="1:43" s="41" customFormat="1" ht="85.5" x14ac:dyDescent="0.25">
      <c r="A85" s="32">
        <v>82</v>
      </c>
      <c r="B85" s="32" t="s">
        <v>36</v>
      </c>
      <c r="C85" s="32" t="s">
        <v>37</v>
      </c>
      <c r="D85" s="32" t="s">
        <v>359</v>
      </c>
      <c r="E85" s="34" t="s">
        <v>360</v>
      </c>
      <c r="F85" s="32" t="s">
        <v>40</v>
      </c>
      <c r="G85" s="34" t="s">
        <v>361</v>
      </c>
      <c r="H85" s="34" t="s">
        <v>76</v>
      </c>
      <c r="I85" s="34" t="s">
        <v>77</v>
      </c>
      <c r="J85" s="34" t="s">
        <v>77</v>
      </c>
      <c r="K85" s="32" t="s">
        <v>362</v>
      </c>
      <c r="L85" s="32">
        <v>310</v>
      </c>
      <c r="M85" s="32" t="s">
        <v>362</v>
      </c>
      <c r="N85" s="35">
        <v>1108827576</v>
      </c>
      <c r="O85" s="23">
        <v>80111600</v>
      </c>
      <c r="P85" s="18" t="s">
        <v>363</v>
      </c>
      <c r="Q85" s="23" t="s">
        <v>87</v>
      </c>
      <c r="R85" s="22" t="s">
        <v>87</v>
      </c>
      <c r="S85" s="22">
        <v>12</v>
      </c>
      <c r="T85" s="22" t="s">
        <v>70</v>
      </c>
      <c r="U85" s="18" t="s">
        <v>48</v>
      </c>
      <c r="V85" s="22" t="s">
        <v>71</v>
      </c>
      <c r="W85" s="238">
        <v>266258400</v>
      </c>
      <c r="X85" s="238">
        <v>199693800</v>
      </c>
      <c r="Y85" s="22" t="s">
        <v>55</v>
      </c>
      <c r="Z85" s="22" t="s">
        <v>100</v>
      </c>
      <c r="AA85" s="22" t="s">
        <v>362</v>
      </c>
      <c r="AB85" s="22" t="s">
        <v>52</v>
      </c>
      <c r="AC85" s="22" t="s">
        <v>364</v>
      </c>
      <c r="AD85" s="22" t="s">
        <v>365</v>
      </c>
      <c r="AE85" s="22" t="s">
        <v>366</v>
      </c>
      <c r="AF85" s="22" t="s">
        <v>50</v>
      </c>
      <c r="AG85" s="22" t="s">
        <v>50</v>
      </c>
      <c r="AH85" s="22" t="s">
        <v>50</v>
      </c>
      <c r="AI85" s="266" t="s">
        <v>55</v>
      </c>
      <c r="AJ85" s="278" t="s">
        <v>55</v>
      </c>
      <c r="AK85" s="47" t="s">
        <v>50</v>
      </c>
      <c r="AL85" s="49" t="s">
        <v>50</v>
      </c>
      <c r="AM85" s="33"/>
      <c r="AN85" s="72"/>
      <c r="AO85" s="71">
        <f t="shared" si="2"/>
        <v>266258400</v>
      </c>
      <c r="AP85" s="49" t="s">
        <v>50</v>
      </c>
      <c r="AQ85" s="280"/>
    </row>
    <row r="86" spans="1:43" s="41" customFormat="1" ht="85.5" x14ac:dyDescent="0.25">
      <c r="A86" s="32">
        <v>83</v>
      </c>
      <c r="B86" s="32" t="s">
        <v>36</v>
      </c>
      <c r="C86" s="32" t="s">
        <v>37</v>
      </c>
      <c r="D86" s="36" t="s">
        <v>359</v>
      </c>
      <c r="E86" s="37" t="s">
        <v>360</v>
      </c>
      <c r="F86" s="32" t="s">
        <v>40</v>
      </c>
      <c r="G86" s="37" t="s">
        <v>361</v>
      </c>
      <c r="H86" s="37" t="s">
        <v>76</v>
      </c>
      <c r="I86" s="37" t="s">
        <v>77</v>
      </c>
      <c r="J86" s="37" t="s">
        <v>77</v>
      </c>
      <c r="K86" s="32" t="s">
        <v>362</v>
      </c>
      <c r="L86" s="36">
        <v>310</v>
      </c>
      <c r="M86" s="32" t="s">
        <v>362</v>
      </c>
      <c r="N86" s="38">
        <v>1108827576</v>
      </c>
      <c r="O86" s="23">
        <v>80111600</v>
      </c>
      <c r="P86" s="18" t="s">
        <v>367</v>
      </c>
      <c r="Q86" s="23" t="s">
        <v>87</v>
      </c>
      <c r="R86" s="23" t="s">
        <v>87</v>
      </c>
      <c r="S86" s="23">
        <v>12</v>
      </c>
      <c r="T86" s="23" t="s">
        <v>70</v>
      </c>
      <c r="U86" s="18" t="s">
        <v>48</v>
      </c>
      <c r="V86" s="23" t="s">
        <v>71</v>
      </c>
      <c r="W86" s="239">
        <v>726424800</v>
      </c>
      <c r="X86" s="239">
        <v>544818600</v>
      </c>
      <c r="Y86" s="22" t="s">
        <v>55</v>
      </c>
      <c r="Z86" s="23" t="s">
        <v>100</v>
      </c>
      <c r="AA86" s="22" t="s">
        <v>362</v>
      </c>
      <c r="AB86" s="22" t="s">
        <v>52</v>
      </c>
      <c r="AC86" s="23" t="s">
        <v>364</v>
      </c>
      <c r="AD86" s="23" t="s">
        <v>365</v>
      </c>
      <c r="AE86" s="23" t="s">
        <v>366</v>
      </c>
      <c r="AF86" s="22" t="s">
        <v>50</v>
      </c>
      <c r="AG86" s="22" t="s">
        <v>50</v>
      </c>
      <c r="AH86" s="22" t="s">
        <v>50</v>
      </c>
      <c r="AI86" s="266" t="s">
        <v>55</v>
      </c>
      <c r="AJ86" s="278" t="s">
        <v>55</v>
      </c>
      <c r="AK86" s="47" t="s">
        <v>50</v>
      </c>
      <c r="AL86" s="49" t="s">
        <v>50</v>
      </c>
      <c r="AM86" s="33"/>
      <c r="AN86" s="72"/>
      <c r="AO86" s="71">
        <f t="shared" si="2"/>
        <v>726424800</v>
      </c>
      <c r="AP86" s="49" t="s">
        <v>50</v>
      </c>
      <c r="AQ86" s="280"/>
    </row>
    <row r="87" spans="1:43" s="41" customFormat="1" ht="85.5" x14ac:dyDescent="0.25">
      <c r="A87" s="32">
        <v>84</v>
      </c>
      <c r="B87" s="32" t="s">
        <v>36</v>
      </c>
      <c r="C87" s="32" t="s">
        <v>37</v>
      </c>
      <c r="D87" s="36" t="s">
        <v>359</v>
      </c>
      <c r="E87" s="37" t="s">
        <v>360</v>
      </c>
      <c r="F87" s="32" t="s">
        <v>40</v>
      </c>
      <c r="G87" s="37" t="s">
        <v>361</v>
      </c>
      <c r="H87" s="37" t="s">
        <v>76</v>
      </c>
      <c r="I87" s="37" t="s">
        <v>77</v>
      </c>
      <c r="J87" s="37" t="s">
        <v>77</v>
      </c>
      <c r="K87" s="32" t="s">
        <v>362</v>
      </c>
      <c r="L87" s="36">
        <v>310</v>
      </c>
      <c r="M87" s="32" t="s">
        <v>362</v>
      </c>
      <c r="N87" s="38">
        <v>1108827576</v>
      </c>
      <c r="O87" s="23">
        <v>80111600</v>
      </c>
      <c r="P87" s="18" t="s">
        <v>368</v>
      </c>
      <c r="Q87" s="23" t="s">
        <v>87</v>
      </c>
      <c r="R87" s="23" t="s">
        <v>87</v>
      </c>
      <c r="S87" s="23">
        <v>12</v>
      </c>
      <c r="T87" s="23" t="s">
        <v>70</v>
      </c>
      <c r="U87" s="18" t="s">
        <v>48</v>
      </c>
      <c r="V87" s="23" t="s">
        <v>71</v>
      </c>
      <c r="W87" s="239">
        <v>526204800</v>
      </c>
      <c r="X87" s="239">
        <v>394653600</v>
      </c>
      <c r="Y87" s="22" t="s">
        <v>55</v>
      </c>
      <c r="Z87" s="23" t="s">
        <v>100</v>
      </c>
      <c r="AA87" s="22" t="s">
        <v>362</v>
      </c>
      <c r="AB87" s="22" t="s">
        <v>52</v>
      </c>
      <c r="AC87" s="23" t="s">
        <v>364</v>
      </c>
      <c r="AD87" s="23" t="s">
        <v>365</v>
      </c>
      <c r="AE87" s="23" t="s">
        <v>366</v>
      </c>
      <c r="AF87" s="22" t="s">
        <v>50</v>
      </c>
      <c r="AG87" s="22" t="s">
        <v>50</v>
      </c>
      <c r="AH87" s="22" t="s">
        <v>50</v>
      </c>
      <c r="AI87" s="266" t="s">
        <v>55</v>
      </c>
      <c r="AJ87" s="278" t="s">
        <v>55</v>
      </c>
      <c r="AK87" s="47" t="s">
        <v>50</v>
      </c>
      <c r="AL87" s="49" t="s">
        <v>50</v>
      </c>
      <c r="AM87" s="33"/>
      <c r="AN87" s="72"/>
      <c r="AO87" s="71">
        <f t="shared" si="2"/>
        <v>526204800</v>
      </c>
      <c r="AP87" s="49" t="s">
        <v>50</v>
      </c>
      <c r="AQ87" s="280"/>
    </row>
    <row r="88" spans="1:43" ht="71.25" x14ac:dyDescent="0.25">
      <c r="A88" s="32">
        <v>85</v>
      </c>
      <c r="B88" s="32" t="s">
        <v>242</v>
      </c>
      <c r="C88" s="32" t="s">
        <v>255</v>
      </c>
      <c r="D88" s="36" t="s">
        <v>359</v>
      </c>
      <c r="E88" s="37" t="s">
        <v>360</v>
      </c>
      <c r="F88" s="32" t="s">
        <v>40</v>
      </c>
      <c r="G88" s="37" t="s">
        <v>361</v>
      </c>
      <c r="H88" s="37" t="s">
        <v>76</v>
      </c>
      <c r="I88" s="37" t="s">
        <v>77</v>
      </c>
      <c r="J88" s="37" t="s">
        <v>77</v>
      </c>
      <c r="K88" s="32" t="s">
        <v>362</v>
      </c>
      <c r="L88" s="36">
        <v>310</v>
      </c>
      <c r="M88" s="32" t="s">
        <v>362</v>
      </c>
      <c r="N88" s="38">
        <v>1108827576</v>
      </c>
      <c r="O88" s="5">
        <v>80111600</v>
      </c>
      <c r="P88" s="5" t="s">
        <v>369</v>
      </c>
      <c r="Q88" s="23" t="s">
        <v>59</v>
      </c>
      <c r="R88" s="23" t="s">
        <v>59</v>
      </c>
      <c r="S88" s="23">
        <v>12</v>
      </c>
      <c r="T88" s="23" t="s">
        <v>70</v>
      </c>
      <c r="U88" s="6" t="s">
        <v>48</v>
      </c>
      <c r="V88" s="23" t="s">
        <v>71</v>
      </c>
      <c r="W88" s="239">
        <v>322995600</v>
      </c>
      <c r="X88" s="239">
        <v>269163000</v>
      </c>
      <c r="Y88" s="7" t="s">
        <v>55</v>
      </c>
      <c r="Z88" s="23" t="s">
        <v>100</v>
      </c>
      <c r="AA88" s="22" t="s">
        <v>362</v>
      </c>
      <c r="AB88" s="7" t="s">
        <v>52</v>
      </c>
      <c r="AC88" s="23" t="s">
        <v>364</v>
      </c>
      <c r="AD88" s="23" t="s">
        <v>365</v>
      </c>
      <c r="AE88" s="23" t="s">
        <v>366</v>
      </c>
      <c r="AF88" s="7" t="s">
        <v>50</v>
      </c>
      <c r="AG88" s="7" t="s">
        <v>50</v>
      </c>
      <c r="AH88" s="7" t="s">
        <v>50</v>
      </c>
      <c r="AI88" s="265" t="s">
        <v>55</v>
      </c>
      <c r="AJ88" s="278" t="s">
        <v>55</v>
      </c>
      <c r="AK88" s="47" t="s">
        <v>50</v>
      </c>
      <c r="AL88" s="49" t="s">
        <v>50</v>
      </c>
      <c r="AM88" s="48"/>
      <c r="AN88" s="71"/>
      <c r="AO88" s="71">
        <f t="shared" si="2"/>
        <v>322995600</v>
      </c>
      <c r="AP88" s="49" t="s">
        <v>50</v>
      </c>
      <c r="AQ88" s="280"/>
    </row>
    <row r="89" spans="1:43" s="41" customFormat="1" ht="85.5" x14ac:dyDescent="0.25">
      <c r="A89" s="32">
        <v>86</v>
      </c>
      <c r="B89" s="32" t="s">
        <v>36</v>
      </c>
      <c r="C89" s="32" t="s">
        <v>37</v>
      </c>
      <c r="D89" s="36" t="s">
        <v>359</v>
      </c>
      <c r="E89" s="37" t="s">
        <v>360</v>
      </c>
      <c r="F89" s="32" t="s">
        <v>40</v>
      </c>
      <c r="G89" s="37" t="s">
        <v>361</v>
      </c>
      <c r="H89" s="37" t="s">
        <v>76</v>
      </c>
      <c r="I89" s="37" t="s">
        <v>77</v>
      </c>
      <c r="J89" s="37" t="s">
        <v>77</v>
      </c>
      <c r="K89" s="32" t="s">
        <v>362</v>
      </c>
      <c r="L89" s="36">
        <v>310</v>
      </c>
      <c r="M89" s="32" t="s">
        <v>362</v>
      </c>
      <c r="N89" s="38">
        <v>1108827576</v>
      </c>
      <c r="O89" s="23">
        <v>80111600</v>
      </c>
      <c r="P89" s="18" t="s">
        <v>370</v>
      </c>
      <c r="Q89" s="23" t="s">
        <v>282</v>
      </c>
      <c r="R89" s="23" t="s">
        <v>282</v>
      </c>
      <c r="S89" s="23">
        <v>12</v>
      </c>
      <c r="T89" s="23" t="s">
        <v>70</v>
      </c>
      <c r="U89" s="18" t="s">
        <v>48</v>
      </c>
      <c r="V89" s="23" t="s">
        <v>71</v>
      </c>
      <c r="W89" s="239">
        <v>202368000</v>
      </c>
      <c r="X89" s="239">
        <v>101184000</v>
      </c>
      <c r="Y89" s="22" t="s">
        <v>55</v>
      </c>
      <c r="Z89" s="23" t="s">
        <v>100</v>
      </c>
      <c r="AA89" s="22" t="s">
        <v>362</v>
      </c>
      <c r="AB89" s="22" t="s">
        <v>52</v>
      </c>
      <c r="AC89" s="23" t="s">
        <v>364</v>
      </c>
      <c r="AD89" s="23" t="s">
        <v>365</v>
      </c>
      <c r="AE89" s="23" t="s">
        <v>366</v>
      </c>
      <c r="AF89" s="22" t="s">
        <v>50</v>
      </c>
      <c r="AG89" s="22" t="s">
        <v>50</v>
      </c>
      <c r="AH89" s="22" t="s">
        <v>50</v>
      </c>
      <c r="AI89" s="266" t="s">
        <v>55</v>
      </c>
      <c r="AJ89" s="278" t="s">
        <v>55</v>
      </c>
      <c r="AK89" s="47" t="s">
        <v>50</v>
      </c>
      <c r="AL89" s="49" t="s">
        <v>50</v>
      </c>
      <c r="AM89" s="33"/>
      <c r="AN89" s="72"/>
      <c r="AO89" s="71">
        <f t="shared" si="2"/>
        <v>202368000</v>
      </c>
      <c r="AP89" s="49" t="s">
        <v>50</v>
      </c>
      <c r="AQ89" s="280"/>
    </row>
    <row r="90" spans="1:43" ht="85.5" x14ac:dyDescent="0.25">
      <c r="A90" s="32">
        <v>87</v>
      </c>
      <c r="B90" s="32" t="s">
        <v>36</v>
      </c>
      <c r="C90" s="32" t="s">
        <v>37</v>
      </c>
      <c r="D90" s="36" t="s">
        <v>371</v>
      </c>
      <c r="E90" s="37" t="s">
        <v>181</v>
      </c>
      <c r="F90" s="32" t="s">
        <v>40</v>
      </c>
      <c r="G90" s="37" t="s">
        <v>361</v>
      </c>
      <c r="H90" s="37" t="s">
        <v>76</v>
      </c>
      <c r="I90" s="37" t="s">
        <v>77</v>
      </c>
      <c r="J90" s="37" t="s">
        <v>77</v>
      </c>
      <c r="K90" s="32" t="s">
        <v>362</v>
      </c>
      <c r="L90" s="36">
        <v>310</v>
      </c>
      <c r="M90" s="32" t="s">
        <v>362</v>
      </c>
      <c r="N90" s="38">
        <v>750000000</v>
      </c>
      <c r="O90" s="5">
        <v>80111600</v>
      </c>
      <c r="P90" s="23" t="s">
        <v>372</v>
      </c>
      <c r="Q90" s="23" t="s">
        <v>59</v>
      </c>
      <c r="R90" s="23" t="s">
        <v>59</v>
      </c>
      <c r="S90" s="23">
        <v>11</v>
      </c>
      <c r="T90" s="23" t="s">
        <v>70</v>
      </c>
      <c r="U90" s="6" t="s">
        <v>48</v>
      </c>
      <c r="V90" s="23" t="s">
        <v>71</v>
      </c>
      <c r="W90" s="239">
        <v>320000000</v>
      </c>
      <c r="X90" s="239">
        <v>320000000</v>
      </c>
      <c r="Y90" s="7" t="s">
        <v>50</v>
      </c>
      <c r="Z90" s="7" t="s">
        <v>50</v>
      </c>
      <c r="AA90" s="22" t="s">
        <v>362</v>
      </c>
      <c r="AB90" s="7" t="s">
        <v>52</v>
      </c>
      <c r="AC90" s="23" t="s">
        <v>364</v>
      </c>
      <c r="AD90" s="23" t="s">
        <v>365</v>
      </c>
      <c r="AE90" s="23" t="s">
        <v>366</v>
      </c>
      <c r="AF90" s="7" t="s">
        <v>50</v>
      </c>
      <c r="AG90" s="7" t="s">
        <v>50</v>
      </c>
      <c r="AH90" s="7" t="s">
        <v>50</v>
      </c>
      <c r="AI90" s="265" t="s">
        <v>55</v>
      </c>
      <c r="AJ90" s="278" t="s">
        <v>55</v>
      </c>
      <c r="AK90" s="47" t="s">
        <v>50</v>
      </c>
      <c r="AL90" s="49" t="s">
        <v>50</v>
      </c>
      <c r="AM90" s="48"/>
      <c r="AN90" s="71"/>
      <c r="AO90" s="71">
        <f t="shared" si="2"/>
        <v>320000000</v>
      </c>
      <c r="AP90" s="49" t="s">
        <v>50</v>
      </c>
      <c r="AQ90" s="280"/>
    </row>
    <row r="91" spans="1:43" ht="85.5" x14ac:dyDescent="0.25">
      <c r="A91" s="32">
        <v>88</v>
      </c>
      <c r="B91" s="32" t="s">
        <v>36</v>
      </c>
      <c r="C91" s="32" t="s">
        <v>37</v>
      </c>
      <c r="D91" s="36" t="s">
        <v>371</v>
      </c>
      <c r="E91" s="37" t="s">
        <v>181</v>
      </c>
      <c r="F91" s="32" t="s">
        <v>40</v>
      </c>
      <c r="G91" s="37" t="s">
        <v>361</v>
      </c>
      <c r="H91" s="37" t="s">
        <v>76</v>
      </c>
      <c r="I91" s="37" t="s">
        <v>77</v>
      </c>
      <c r="J91" s="37" t="s">
        <v>77</v>
      </c>
      <c r="K91" s="32" t="s">
        <v>362</v>
      </c>
      <c r="L91" s="36">
        <v>310</v>
      </c>
      <c r="M91" s="32" t="s">
        <v>362</v>
      </c>
      <c r="N91" s="38">
        <v>750000000</v>
      </c>
      <c r="O91" s="5">
        <v>80111600</v>
      </c>
      <c r="P91" s="11" t="s">
        <v>373</v>
      </c>
      <c r="Q91" s="11" t="s">
        <v>59</v>
      </c>
      <c r="R91" s="6" t="s">
        <v>59</v>
      </c>
      <c r="S91" s="23">
        <v>11</v>
      </c>
      <c r="T91" s="23" t="s">
        <v>70</v>
      </c>
      <c r="U91" s="6" t="s">
        <v>48</v>
      </c>
      <c r="V91" s="23" t="s">
        <v>71</v>
      </c>
      <c r="W91" s="239">
        <v>70466000</v>
      </c>
      <c r="X91" s="239">
        <v>70466000</v>
      </c>
      <c r="Y91" s="7" t="s">
        <v>50</v>
      </c>
      <c r="Z91" s="7" t="s">
        <v>50</v>
      </c>
      <c r="AA91" s="22" t="s">
        <v>362</v>
      </c>
      <c r="AB91" s="7" t="s">
        <v>52</v>
      </c>
      <c r="AC91" s="23" t="s">
        <v>364</v>
      </c>
      <c r="AD91" s="23" t="s">
        <v>365</v>
      </c>
      <c r="AE91" s="23" t="s">
        <v>366</v>
      </c>
      <c r="AF91" s="7" t="s">
        <v>50</v>
      </c>
      <c r="AG91" s="7" t="s">
        <v>50</v>
      </c>
      <c r="AH91" s="7" t="s">
        <v>50</v>
      </c>
      <c r="AI91" s="265" t="s">
        <v>55</v>
      </c>
      <c r="AJ91" s="278" t="s">
        <v>55</v>
      </c>
      <c r="AK91" s="47" t="s">
        <v>50</v>
      </c>
      <c r="AL91" s="49" t="s">
        <v>50</v>
      </c>
      <c r="AM91" s="48"/>
      <c r="AN91" s="71"/>
      <c r="AO91" s="71">
        <f t="shared" si="2"/>
        <v>70466000</v>
      </c>
      <c r="AP91" s="49" t="s">
        <v>50</v>
      </c>
      <c r="AQ91" s="280"/>
    </row>
    <row r="92" spans="1:43" ht="85.5" x14ac:dyDescent="0.25">
      <c r="A92" s="32">
        <v>89</v>
      </c>
      <c r="B92" s="32" t="s">
        <v>36</v>
      </c>
      <c r="C92" s="32" t="s">
        <v>37</v>
      </c>
      <c r="D92" s="36" t="s">
        <v>371</v>
      </c>
      <c r="E92" s="37" t="s">
        <v>181</v>
      </c>
      <c r="F92" s="32" t="s">
        <v>40</v>
      </c>
      <c r="G92" s="37" t="s">
        <v>361</v>
      </c>
      <c r="H92" s="37" t="s">
        <v>76</v>
      </c>
      <c r="I92" s="37" t="s">
        <v>77</v>
      </c>
      <c r="J92" s="37" t="s">
        <v>77</v>
      </c>
      <c r="K92" s="32" t="s">
        <v>362</v>
      </c>
      <c r="L92" s="36">
        <v>310</v>
      </c>
      <c r="M92" s="32" t="s">
        <v>362</v>
      </c>
      <c r="N92" s="38">
        <v>750000000</v>
      </c>
      <c r="O92" s="5">
        <v>80111600</v>
      </c>
      <c r="P92" s="11" t="s">
        <v>374</v>
      </c>
      <c r="Q92" s="11" t="s">
        <v>59</v>
      </c>
      <c r="R92" s="6" t="s">
        <v>59</v>
      </c>
      <c r="S92" s="23">
        <v>11</v>
      </c>
      <c r="T92" s="23" t="s">
        <v>70</v>
      </c>
      <c r="U92" s="6" t="s">
        <v>48</v>
      </c>
      <c r="V92" s="23" t="s">
        <v>71</v>
      </c>
      <c r="W92" s="239">
        <v>70466000</v>
      </c>
      <c r="X92" s="239">
        <v>70466000</v>
      </c>
      <c r="Y92" s="7" t="s">
        <v>50</v>
      </c>
      <c r="Z92" s="7" t="s">
        <v>50</v>
      </c>
      <c r="AA92" s="22" t="s">
        <v>362</v>
      </c>
      <c r="AB92" s="7" t="s">
        <v>52</v>
      </c>
      <c r="AC92" s="23" t="s">
        <v>364</v>
      </c>
      <c r="AD92" s="23" t="s">
        <v>365</v>
      </c>
      <c r="AE92" s="23" t="s">
        <v>366</v>
      </c>
      <c r="AF92" s="7" t="s">
        <v>50</v>
      </c>
      <c r="AG92" s="7" t="s">
        <v>50</v>
      </c>
      <c r="AH92" s="7" t="s">
        <v>50</v>
      </c>
      <c r="AI92" s="265" t="s">
        <v>55</v>
      </c>
      <c r="AJ92" s="278" t="s">
        <v>55</v>
      </c>
      <c r="AK92" s="47" t="s">
        <v>50</v>
      </c>
      <c r="AL92" s="49" t="s">
        <v>50</v>
      </c>
      <c r="AM92" s="48"/>
      <c r="AN92" s="71"/>
      <c r="AO92" s="71">
        <f t="shared" si="2"/>
        <v>70466000</v>
      </c>
      <c r="AP92" s="49" t="s">
        <v>50</v>
      </c>
      <c r="AQ92" s="280"/>
    </row>
    <row r="93" spans="1:43" ht="85.5" x14ac:dyDescent="0.25">
      <c r="A93" s="32">
        <v>90</v>
      </c>
      <c r="B93" s="32" t="s">
        <v>36</v>
      </c>
      <c r="C93" s="32" t="s">
        <v>37</v>
      </c>
      <c r="D93" s="36" t="s">
        <v>371</v>
      </c>
      <c r="E93" s="37" t="s">
        <v>181</v>
      </c>
      <c r="F93" s="32" t="s">
        <v>40</v>
      </c>
      <c r="G93" s="37" t="s">
        <v>361</v>
      </c>
      <c r="H93" s="37" t="s">
        <v>76</v>
      </c>
      <c r="I93" s="37" t="s">
        <v>77</v>
      </c>
      <c r="J93" s="37" t="s">
        <v>77</v>
      </c>
      <c r="K93" s="32" t="s">
        <v>362</v>
      </c>
      <c r="L93" s="36">
        <v>310</v>
      </c>
      <c r="M93" s="32" t="s">
        <v>362</v>
      </c>
      <c r="N93" s="38">
        <v>750000000</v>
      </c>
      <c r="O93" s="5">
        <v>80111600</v>
      </c>
      <c r="P93" s="23" t="s">
        <v>375</v>
      </c>
      <c r="Q93" s="11" t="s">
        <v>59</v>
      </c>
      <c r="R93" s="6" t="s">
        <v>59</v>
      </c>
      <c r="S93" s="23">
        <v>11</v>
      </c>
      <c r="T93" s="23" t="s">
        <v>70</v>
      </c>
      <c r="U93" s="6" t="s">
        <v>48</v>
      </c>
      <c r="V93" s="23" t="s">
        <v>71</v>
      </c>
      <c r="W93" s="239">
        <v>70466000</v>
      </c>
      <c r="X93" s="239">
        <v>70466000</v>
      </c>
      <c r="Y93" s="7" t="s">
        <v>50</v>
      </c>
      <c r="Z93" s="7" t="s">
        <v>50</v>
      </c>
      <c r="AA93" s="22" t="s">
        <v>362</v>
      </c>
      <c r="AB93" s="7" t="s">
        <v>52</v>
      </c>
      <c r="AC93" s="23" t="s">
        <v>364</v>
      </c>
      <c r="AD93" s="23" t="s">
        <v>365</v>
      </c>
      <c r="AE93" s="23" t="s">
        <v>366</v>
      </c>
      <c r="AF93" s="7" t="s">
        <v>50</v>
      </c>
      <c r="AG93" s="7" t="s">
        <v>50</v>
      </c>
      <c r="AH93" s="7" t="s">
        <v>50</v>
      </c>
      <c r="AI93" s="265" t="s">
        <v>55</v>
      </c>
      <c r="AJ93" s="278" t="s">
        <v>55</v>
      </c>
      <c r="AK93" s="47" t="s">
        <v>50</v>
      </c>
      <c r="AL93" s="49" t="s">
        <v>50</v>
      </c>
      <c r="AM93" s="48"/>
      <c r="AN93" s="71"/>
      <c r="AO93" s="71">
        <f t="shared" si="2"/>
        <v>70466000</v>
      </c>
      <c r="AP93" s="49" t="s">
        <v>50</v>
      </c>
      <c r="AQ93" s="280"/>
    </row>
    <row r="94" spans="1:43" ht="85.5" x14ac:dyDescent="0.25">
      <c r="A94" s="32">
        <v>91</v>
      </c>
      <c r="B94" s="32" t="s">
        <v>36</v>
      </c>
      <c r="C94" s="32" t="s">
        <v>37</v>
      </c>
      <c r="D94" s="32" t="s">
        <v>376</v>
      </c>
      <c r="E94" s="32" t="s">
        <v>244</v>
      </c>
      <c r="F94" s="32" t="s">
        <v>40</v>
      </c>
      <c r="G94" s="32" t="s">
        <v>361</v>
      </c>
      <c r="H94" s="32" t="s">
        <v>42</v>
      </c>
      <c r="I94" s="32" t="s">
        <v>43</v>
      </c>
      <c r="J94" s="32" t="s">
        <v>43</v>
      </c>
      <c r="K94" s="32" t="s">
        <v>377</v>
      </c>
      <c r="L94" s="32">
        <v>102</v>
      </c>
      <c r="M94" s="32" t="s">
        <v>377</v>
      </c>
      <c r="N94" s="17">
        <v>500000000</v>
      </c>
      <c r="O94" s="5">
        <v>80111600</v>
      </c>
      <c r="P94" s="22" t="s">
        <v>378</v>
      </c>
      <c r="Q94" s="11" t="s">
        <v>59</v>
      </c>
      <c r="R94" s="6" t="s">
        <v>59</v>
      </c>
      <c r="S94" s="22">
        <v>11</v>
      </c>
      <c r="T94" s="22" t="s">
        <v>70</v>
      </c>
      <c r="U94" s="6" t="s">
        <v>48</v>
      </c>
      <c r="V94" s="22" t="s">
        <v>71</v>
      </c>
      <c r="W94" s="238">
        <v>70463250</v>
      </c>
      <c r="X94" s="238">
        <v>70463250</v>
      </c>
      <c r="Y94" s="7" t="s">
        <v>50</v>
      </c>
      <c r="Z94" s="7" t="s">
        <v>50</v>
      </c>
      <c r="AA94" s="22" t="s">
        <v>377</v>
      </c>
      <c r="AB94" s="7" t="s">
        <v>52</v>
      </c>
      <c r="AC94" s="22" t="s">
        <v>379</v>
      </c>
      <c r="AD94" s="22" t="s">
        <v>365</v>
      </c>
      <c r="AE94" s="22" t="s">
        <v>380</v>
      </c>
      <c r="AF94" s="7" t="s">
        <v>50</v>
      </c>
      <c r="AG94" s="7" t="s">
        <v>50</v>
      </c>
      <c r="AH94" s="7" t="s">
        <v>50</v>
      </c>
      <c r="AI94" s="265" t="s">
        <v>55</v>
      </c>
      <c r="AJ94" s="278" t="s">
        <v>55</v>
      </c>
      <c r="AK94" s="47" t="s">
        <v>50</v>
      </c>
      <c r="AL94" s="49" t="s">
        <v>50</v>
      </c>
      <c r="AM94" s="48"/>
      <c r="AN94" s="71"/>
      <c r="AO94" s="71">
        <f t="shared" si="2"/>
        <v>70463250</v>
      </c>
      <c r="AP94" s="49" t="s">
        <v>50</v>
      </c>
      <c r="AQ94" s="280"/>
    </row>
    <row r="95" spans="1:43" ht="85.5" x14ac:dyDescent="0.25">
      <c r="A95" s="32">
        <v>92</v>
      </c>
      <c r="B95" s="32" t="s">
        <v>36</v>
      </c>
      <c r="C95" s="32" t="s">
        <v>37</v>
      </c>
      <c r="D95" s="32" t="s">
        <v>376</v>
      </c>
      <c r="E95" s="32" t="s">
        <v>244</v>
      </c>
      <c r="F95" s="32" t="s">
        <v>40</v>
      </c>
      <c r="G95" s="32" t="s">
        <v>361</v>
      </c>
      <c r="H95" s="32" t="s">
        <v>42</v>
      </c>
      <c r="I95" s="32" t="s">
        <v>43</v>
      </c>
      <c r="J95" s="32" t="s">
        <v>43</v>
      </c>
      <c r="K95" s="32" t="s">
        <v>377</v>
      </c>
      <c r="L95" s="32">
        <v>102</v>
      </c>
      <c r="M95" s="32" t="s">
        <v>377</v>
      </c>
      <c r="N95" s="17">
        <v>500000000</v>
      </c>
      <c r="O95" s="5">
        <v>80111600</v>
      </c>
      <c r="P95" s="23" t="s">
        <v>381</v>
      </c>
      <c r="Q95" s="11" t="s">
        <v>59</v>
      </c>
      <c r="R95" s="6" t="s">
        <v>59</v>
      </c>
      <c r="S95" s="23">
        <v>11</v>
      </c>
      <c r="T95" s="23" t="s">
        <v>70</v>
      </c>
      <c r="U95" s="6" t="s">
        <v>48</v>
      </c>
      <c r="V95" s="23" t="s">
        <v>112</v>
      </c>
      <c r="W95" s="239">
        <v>70463250</v>
      </c>
      <c r="X95" s="239">
        <v>70463250</v>
      </c>
      <c r="Y95" s="7" t="s">
        <v>50</v>
      </c>
      <c r="Z95" s="7" t="s">
        <v>50</v>
      </c>
      <c r="AA95" s="22" t="s">
        <v>377</v>
      </c>
      <c r="AB95" s="7" t="s">
        <v>52</v>
      </c>
      <c r="AC95" s="23" t="s">
        <v>379</v>
      </c>
      <c r="AD95" s="23" t="s">
        <v>365</v>
      </c>
      <c r="AE95" s="23" t="s">
        <v>380</v>
      </c>
      <c r="AF95" s="7" t="s">
        <v>50</v>
      </c>
      <c r="AG95" s="7" t="s">
        <v>50</v>
      </c>
      <c r="AH95" s="7" t="s">
        <v>50</v>
      </c>
      <c r="AI95" s="265" t="s">
        <v>55</v>
      </c>
      <c r="AJ95" s="278" t="s">
        <v>55</v>
      </c>
      <c r="AK95" s="47" t="s">
        <v>50</v>
      </c>
      <c r="AL95" s="49" t="s">
        <v>50</v>
      </c>
      <c r="AM95" s="48"/>
      <c r="AN95" s="71"/>
      <c r="AO95" s="71">
        <f t="shared" si="2"/>
        <v>70463250</v>
      </c>
      <c r="AP95" s="49" t="s">
        <v>50</v>
      </c>
      <c r="AQ95" s="280"/>
    </row>
    <row r="96" spans="1:43" ht="85.5" x14ac:dyDescent="0.25">
      <c r="A96" s="32">
        <v>93</v>
      </c>
      <c r="B96" s="32" t="s">
        <v>36</v>
      </c>
      <c r="C96" s="32" t="s">
        <v>37</v>
      </c>
      <c r="D96" s="32" t="s">
        <v>376</v>
      </c>
      <c r="E96" s="32" t="s">
        <v>244</v>
      </c>
      <c r="F96" s="32" t="s">
        <v>40</v>
      </c>
      <c r="G96" s="32" t="s">
        <v>361</v>
      </c>
      <c r="H96" s="32" t="s">
        <v>42</v>
      </c>
      <c r="I96" s="32" t="s">
        <v>43</v>
      </c>
      <c r="J96" s="32" t="s">
        <v>43</v>
      </c>
      <c r="K96" s="32" t="s">
        <v>377</v>
      </c>
      <c r="L96" s="32">
        <v>102</v>
      </c>
      <c r="M96" s="32" t="s">
        <v>377</v>
      </c>
      <c r="N96" s="17">
        <v>500000000</v>
      </c>
      <c r="O96" s="5">
        <v>80111600</v>
      </c>
      <c r="P96" s="23" t="s">
        <v>382</v>
      </c>
      <c r="Q96" s="11" t="s">
        <v>59</v>
      </c>
      <c r="R96" s="6" t="s">
        <v>59</v>
      </c>
      <c r="S96" s="23">
        <v>11</v>
      </c>
      <c r="T96" s="23" t="s">
        <v>70</v>
      </c>
      <c r="U96" s="6" t="s">
        <v>48</v>
      </c>
      <c r="V96" s="23" t="s">
        <v>112</v>
      </c>
      <c r="W96" s="239">
        <v>70463250</v>
      </c>
      <c r="X96" s="239">
        <v>70463250</v>
      </c>
      <c r="Y96" s="7" t="s">
        <v>50</v>
      </c>
      <c r="Z96" s="7" t="s">
        <v>50</v>
      </c>
      <c r="AA96" s="22" t="s">
        <v>377</v>
      </c>
      <c r="AB96" s="7" t="s">
        <v>52</v>
      </c>
      <c r="AC96" s="23" t="s">
        <v>379</v>
      </c>
      <c r="AD96" s="23" t="s">
        <v>365</v>
      </c>
      <c r="AE96" s="23" t="s">
        <v>380</v>
      </c>
      <c r="AF96" s="7" t="s">
        <v>50</v>
      </c>
      <c r="AG96" s="7" t="s">
        <v>50</v>
      </c>
      <c r="AH96" s="7" t="s">
        <v>50</v>
      </c>
      <c r="AI96" s="265" t="s">
        <v>55</v>
      </c>
      <c r="AJ96" s="278" t="s">
        <v>55</v>
      </c>
      <c r="AK96" s="47" t="s">
        <v>50</v>
      </c>
      <c r="AL96" s="49" t="s">
        <v>50</v>
      </c>
      <c r="AM96" s="48"/>
      <c r="AN96" s="71"/>
      <c r="AO96" s="71">
        <f t="shared" si="2"/>
        <v>70463250</v>
      </c>
      <c r="AP96" s="49" t="s">
        <v>50</v>
      </c>
      <c r="AQ96" s="280"/>
    </row>
    <row r="97" spans="1:43" ht="85.5" x14ac:dyDescent="0.25">
      <c r="A97" s="32">
        <v>94</v>
      </c>
      <c r="B97" s="32" t="s">
        <v>36</v>
      </c>
      <c r="C97" s="32" t="s">
        <v>37</v>
      </c>
      <c r="D97" s="32" t="s">
        <v>376</v>
      </c>
      <c r="E97" s="32" t="s">
        <v>244</v>
      </c>
      <c r="F97" s="32" t="s">
        <v>40</v>
      </c>
      <c r="G97" s="32" t="s">
        <v>361</v>
      </c>
      <c r="H97" s="32" t="s">
        <v>42</v>
      </c>
      <c r="I97" s="32" t="s">
        <v>43</v>
      </c>
      <c r="J97" s="32" t="s">
        <v>43</v>
      </c>
      <c r="K97" s="32" t="s">
        <v>377</v>
      </c>
      <c r="L97" s="32">
        <v>102</v>
      </c>
      <c r="M97" s="32" t="s">
        <v>377</v>
      </c>
      <c r="N97" s="17">
        <v>500000000</v>
      </c>
      <c r="O97" s="5">
        <v>80111600</v>
      </c>
      <c r="P97" s="23" t="s">
        <v>383</v>
      </c>
      <c r="Q97" s="11" t="s">
        <v>59</v>
      </c>
      <c r="R97" s="6" t="s">
        <v>59</v>
      </c>
      <c r="S97" s="23">
        <v>11</v>
      </c>
      <c r="T97" s="23" t="s">
        <v>70</v>
      </c>
      <c r="U97" s="6" t="s">
        <v>48</v>
      </c>
      <c r="V97" s="23" t="s">
        <v>112</v>
      </c>
      <c r="W97" s="239">
        <v>70463250</v>
      </c>
      <c r="X97" s="239">
        <v>70463250</v>
      </c>
      <c r="Y97" s="7" t="s">
        <v>50</v>
      </c>
      <c r="Z97" s="7" t="s">
        <v>50</v>
      </c>
      <c r="AA97" s="22" t="s">
        <v>377</v>
      </c>
      <c r="AB97" s="7" t="s">
        <v>52</v>
      </c>
      <c r="AC97" s="23" t="s">
        <v>379</v>
      </c>
      <c r="AD97" s="23" t="s">
        <v>365</v>
      </c>
      <c r="AE97" s="23" t="s">
        <v>380</v>
      </c>
      <c r="AF97" s="7" t="s">
        <v>50</v>
      </c>
      <c r="AG97" s="7" t="s">
        <v>50</v>
      </c>
      <c r="AH97" s="7" t="s">
        <v>50</v>
      </c>
      <c r="AI97" s="265" t="s">
        <v>55</v>
      </c>
      <c r="AJ97" s="278" t="s">
        <v>55</v>
      </c>
      <c r="AK97" s="47" t="s">
        <v>50</v>
      </c>
      <c r="AL97" s="49" t="s">
        <v>50</v>
      </c>
      <c r="AM97" s="48"/>
      <c r="AN97" s="71"/>
      <c r="AO97" s="71">
        <f t="shared" si="2"/>
        <v>70463250</v>
      </c>
      <c r="AP97" s="49" t="s">
        <v>50</v>
      </c>
      <c r="AQ97" s="280"/>
    </row>
    <row r="98" spans="1:43" ht="85.5" x14ac:dyDescent="0.25">
      <c r="A98" s="32">
        <v>95</v>
      </c>
      <c r="B98" s="32" t="s">
        <v>36</v>
      </c>
      <c r="C98" s="32" t="s">
        <v>37</v>
      </c>
      <c r="D98" s="32" t="s">
        <v>376</v>
      </c>
      <c r="E98" s="32" t="s">
        <v>244</v>
      </c>
      <c r="F98" s="32" t="s">
        <v>40</v>
      </c>
      <c r="G98" s="32" t="s">
        <v>361</v>
      </c>
      <c r="H98" s="32" t="s">
        <v>42</v>
      </c>
      <c r="I98" s="32" t="s">
        <v>43</v>
      </c>
      <c r="J98" s="32" t="s">
        <v>43</v>
      </c>
      <c r="K98" s="32" t="s">
        <v>377</v>
      </c>
      <c r="L98" s="32">
        <v>102</v>
      </c>
      <c r="M98" s="32" t="s">
        <v>377</v>
      </c>
      <c r="N98" s="17">
        <v>500000000</v>
      </c>
      <c r="O98" s="5">
        <v>80111600</v>
      </c>
      <c r="P98" s="23" t="s">
        <v>384</v>
      </c>
      <c r="Q98" s="11" t="s">
        <v>59</v>
      </c>
      <c r="R98" s="6" t="s">
        <v>59</v>
      </c>
      <c r="S98" s="23">
        <v>11</v>
      </c>
      <c r="T98" s="23" t="s">
        <v>70</v>
      </c>
      <c r="U98" s="6" t="s">
        <v>48</v>
      </c>
      <c r="V98" s="23" t="s">
        <v>112</v>
      </c>
      <c r="W98" s="239">
        <v>70463250</v>
      </c>
      <c r="X98" s="239">
        <v>70463250</v>
      </c>
      <c r="Y98" s="7" t="s">
        <v>50</v>
      </c>
      <c r="Z98" s="7" t="s">
        <v>50</v>
      </c>
      <c r="AA98" s="22" t="s">
        <v>377</v>
      </c>
      <c r="AB98" s="7" t="s">
        <v>52</v>
      </c>
      <c r="AC98" s="23" t="s">
        <v>379</v>
      </c>
      <c r="AD98" s="23" t="s">
        <v>365</v>
      </c>
      <c r="AE98" s="23" t="s">
        <v>380</v>
      </c>
      <c r="AF98" s="7" t="s">
        <v>50</v>
      </c>
      <c r="AG98" s="7" t="s">
        <v>50</v>
      </c>
      <c r="AH98" s="7" t="s">
        <v>50</v>
      </c>
      <c r="AI98" s="265" t="s">
        <v>55</v>
      </c>
      <c r="AJ98" s="278" t="s">
        <v>55</v>
      </c>
      <c r="AK98" s="47" t="s">
        <v>50</v>
      </c>
      <c r="AL98" s="49" t="s">
        <v>50</v>
      </c>
      <c r="AM98" s="48"/>
      <c r="AN98" s="71"/>
      <c r="AO98" s="71">
        <f t="shared" si="2"/>
        <v>70463250</v>
      </c>
      <c r="AP98" s="49" t="s">
        <v>50</v>
      </c>
      <c r="AQ98" s="280"/>
    </row>
    <row r="99" spans="1:43" ht="71.25" x14ac:dyDescent="0.25">
      <c r="A99" s="32">
        <v>96</v>
      </c>
      <c r="B99" s="32" t="s">
        <v>94</v>
      </c>
      <c r="C99" s="32" t="s">
        <v>385</v>
      </c>
      <c r="D99" s="32" t="s">
        <v>376</v>
      </c>
      <c r="E99" s="32" t="s">
        <v>244</v>
      </c>
      <c r="F99" s="32" t="s">
        <v>40</v>
      </c>
      <c r="G99" s="32" t="s">
        <v>361</v>
      </c>
      <c r="H99" s="32" t="s">
        <v>42</v>
      </c>
      <c r="I99" s="32" t="s">
        <v>43</v>
      </c>
      <c r="J99" s="32" t="s">
        <v>43</v>
      </c>
      <c r="K99" s="32" t="s">
        <v>377</v>
      </c>
      <c r="L99" s="32">
        <v>102</v>
      </c>
      <c r="M99" s="32" t="s">
        <v>377</v>
      </c>
      <c r="N99" s="17">
        <v>500000000</v>
      </c>
      <c r="O99" s="5">
        <v>80111600</v>
      </c>
      <c r="P99" s="23" t="s">
        <v>386</v>
      </c>
      <c r="Q99" s="11" t="s">
        <v>59</v>
      </c>
      <c r="R99" s="6" t="s">
        <v>59</v>
      </c>
      <c r="S99" s="23">
        <v>11</v>
      </c>
      <c r="T99" s="23" t="s">
        <v>70</v>
      </c>
      <c r="U99" s="6" t="s">
        <v>48</v>
      </c>
      <c r="V99" s="23" t="s">
        <v>112</v>
      </c>
      <c r="W99" s="239">
        <v>70463250</v>
      </c>
      <c r="X99" s="239">
        <v>70463250</v>
      </c>
      <c r="Y99" s="7" t="s">
        <v>50</v>
      </c>
      <c r="Z99" s="7" t="s">
        <v>50</v>
      </c>
      <c r="AA99" s="22" t="s">
        <v>377</v>
      </c>
      <c r="AB99" s="7" t="s">
        <v>52</v>
      </c>
      <c r="AC99" s="23" t="s">
        <v>379</v>
      </c>
      <c r="AD99" s="23" t="s">
        <v>365</v>
      </c>
      <c r="AE99" s="23" t="s">
        <v>380</v>
      </c>
      <c r="AF99" s="7" t="s">
        <v>50</v>
      </c>
      <c r="AG99" s="7" t="s">
        <v>50</v>
      </c>
      <c r="AH99" s="7" t="s">
        <v>50</v>
      </c>
      <c r="AI99" s="265" t="s">
        <v>55</v>
      </c>
      <c r="AJ99" s="278" t="s">
        <v>55</v>
      </c>
      <c r="AK99" s="47" t="s">
        <v>50</v>
      </c>
      <c r="AL99" s="49" t="s">
        <v>50</v>
      </c>
      <c r="AM99" s="48"/>
      <c r="AN99" s="71"/>
      <c r="AO99" s="71">
        <f t="shared" si="2"/>
        <v>70463250</v>
      </c>
      <c r="AP99" s="49" t="s">
        <v>50</v>
      </c>
      <c r="AQ99" s="280"/>
    </row>
    <row r="100" spans="1:43" ht="71.25" x14ac:dyDescent="0.25">
      <c r="A100" s="32">
        <v>97</v>
      </c>
      <c r="B100" s="32" t="s">
        <v>94</v>
      </c>
      <c r="C100" s="32" t="s">
        <v>385</v>
      </c>
      <c r="D100" s="32" t="s">
        <v>376</v>
      </c>
      <c r="E100" s="32" t="s">
        <v>244</v>
      </c>
      <c r="F100" s="32" t="s">
        <v>40</v>
      </c>
      <c r="G100" s="32" t="s">
        <v>361</v>
      </c>
      <c r="H100" s="32" t="s">
        <v>42</v>
      </c>
      <c r="I100" s="32" t="s">
        <v>43</v>
      </c>
      <c r="J100" s="32" t="s">
        <v>43</v>
      </c>
      <c r="K100" s="32" t="s">
        <v>377</v>
      </c>
      <c r="L100" s="32">
        <v>102</v>
      </c>
      <c r="M100" s="32" t="s">
        <v>377</v>
      </c>
      <c r="N100" s="17">
        <v>500000000</v>
      </c>
      <c r="O100" s="5">
        <v>80111600</v>
      </c>
      <c r="P100" s="23" t="s">
        <v>387</v>
      </c>
      <c r="Q100" s="11" t="s">
        <v>59</v>
      </c>
      <c r="R100" s="6" t="s">
        <v>59</v>
      </c>
      <c r="S100" s="23">
        <v>11</v>
      </c>
      <c r="T100" s="23" t="s">
        <v>70</v>
      </c>
      <c r="U100" s="6" t="s">
        <v>48</v>
      </c>
      <c r="V100" s="23" t="s">
        <v>112</v>
      </c>
      <c r="W100" s="239">
        <v>70463250</v>
      </c>
      <c r="X100" s="239">
        <v>70463250</v>
      </c>
      <c r="Y100" s="7" t="s">
        <v>50</v>
      </c>
      <c r="Z100" s="7" t="s">
        <v>50</v>
      </c>
      <c r="AA100" s="22" t="s">
        <v>377</v>
      </c>
      <c r="AB100" s="7" t="s">
        <v>52</v>
      </c>
      <c r="AC100" s="23" t="s">
        <v>379</v>
      </c>
      <c r="AD100" s="23" t="s">
        <v>365</v>
      </c>
      <c r="AE100" s="23" t="s">
        <v>380</v>
      </c>
      <c r="AF100" s="7" t="s">
        <v>50</v>
      </c>
      <c r="AG100" s="7" t="s">
        <v>50</v>
      </c>
      <c r="AH100" s="7" t="s">
        <v>50</v>
      </c>
      <c r="AI100" s="265" t="s">
        <v>55</v>
      </c>
      <c r="AJ100" s="278" t="s">
        <v>55</v>
      </c>
      <c r="AK100" s="47" t="s">
        <v>50</v>
      </c>
      <c r="AL100" s="49" t="s">
        <v>50</v>
      </c>
      <c r="AM100" s="48"/>
      <c r="AN100" s="71"/>
      <c r="AO100" s="71">
        <f t="shared" si="2"/>
        <v>70463250</v>
      </c>
      <c r="AP100" s="49" t="s">
        <v>50</v>
      </c>
      <c r="AQ100" s="280"/>
    </row>
    <row r="101" spans="1:43" ht="185.25" x14ac:dyDescent="0.25">
      <c r="A101" s="32">
        <v>98</v>
      </c>
      <c r="B101" s="32" t="s">
        <v>94</v>
      </c>
      <c r="C101" s="32" t="s">
        <v>385</v>
      </c>
      <c r="D101" s="32" t="s">
        <v>388</v>
      </c>
      <c r="E101" s="39" t="s">
        <v>389</v>
      </c>
      <c r="F101" s="32" t="s">
        <v>40</v>
      </c>
      <c r="G101" s="34" t="s">
        <v>390</v>
      </c>
      <c r="H101" s="34" t="s">
        <v>391</v>
      </c>
      <c r="I101" s="34" t="s">
        <v>392</v>
      </c>
      <c r="J101" s="34" t="s">
        <v>392</v>
      </c>
      <c r="K101" s="32" t="s">
        <v>393</v>
      </c>
      <c r="L101" s="32">
        <v>101</v>
      </c>
      <c r="M101" s="32" t="s">
        <v>393</v>
      </c>
      <c r="N101" s="40">
        <v>13265105716</v>
      </c>
      <c r="O101" s="7">
        <v>80141600</v>
      </c>
      <c r="P101" s="24" t="s">
        <v>394</v>
      </c>
      <c r="Q101" s="11" t="s">
        <v>59</v>
      </c>
      <c r="R101" s="6" t="s">
        <v>69</v>
      </c>
      <c r="S101" s="6">
        <v>11</v>
      </c>
      <c r="T101" s="6" t="s">
        <v>70</v>
      </c>
      <c r="U101" s="7" t="s">
        <v>157</v>
      </c>
      <c r="V101" s="6" t="s">
        <v>49</v>
      </c>
      <c r="W101" s="231">
        <v>12100000000</v>
      </c>
      <c r="X101" s="231">
        <f>1100000000*7</f>
        <v>7700000000</v>
      </c>
      <c r="Y101" s="7" t="s">
        <v>55</v>
      </c>
      <c r="Z101" s="6" t="s">
        <v>395</v>
      </c>
      <c r="AA101" s="6" t="s">
        <v>393</v>
      </c>
      <c r="AB101" s="7" t="s">
        <v>52</v>
      </c>
      <c r="AC101" s="6" t="s">
        <v>396</v>
      </c>
      <c r="AD101" s="23" t="s">
        <v>365</v>
      </c>
      <c r="AE101" s="23" t="s">
        <v>366</v>
      </c>
      <c r="AF101" s="7" t="s">
        <v>50</v>
      </c>
      <c r="AG101" s="7" t="s">
        <v>50</v>
      </c>
      <c r="AH101" s="7" t="s">
        <v>50</v>
      </c>
      <c r="AI101" s="265" t="s">
        <v>55</v>
      </c>
      <c r="AJ101" s="278" t="s">
        <v>55</v>
      </c>
      <c r="AK101" s="47" t="s">
        <v>50</v>
      </c>
      <c r="AL101" s="49" t="s">
        <v>50</v>
      </c>
      <c r="AM101" s="48"/>
      <c r="AN101" s="71"/>
      <c r="AO101" s="71">
        <f t="shared" si="2"/>
        <v>12100000000</v>
      </c>
      <c r="AP101" s="24" t="s">
        <v>638</v>
      </c>
      <c r="AQ101" s="281" t="s">
        <v>640</v>
      </c>
    </row>
    <row r="102" spans="1:43" ht="71.25" x14ac:dyDescent="0.25">
      <c r="A102" s="32">
        <v>99</v>
      </c>
      <c r="B102" s="32" t="s">
        <v>397</v>
      </c>
      <c r="C102" s="32" t="s">
        <v>398</v>
      </c>
      <c r="D102" s="32" t="s">
        <v>399</v>
      </c>
      <c r="E102" s="39" t="s">
        <v>400</v>
      </c>
      <c r="F102" s="32" t="s">
        <v>40</v>
      </c>
      <c r="G102" s="32" t="s">
        <v>160</v>
      </c>
      <c r="H102" s="34" t="s">
        <v>401</v>
      </c>
      <c r="I102" s="34" t="s">
        <v>402</v>
      </c>
      <c r="J102" s="34" t="s">
        <v>403</v>
      </c>
      <c r="K102" s="32" t="s">
        <v>404</v>
      </c>
      <c r="L102" s="32">
        <v>440</v>
      </c>
      <c r="M102" s="32" t="s">
        <v>404</v>
      </c>
      <c r="N102" s="40">
        <v>12400000000</v>
      </c>
      <c r="O102" s="7">
        <v>80131800</v>
      </c>
      <c r="P102" s="24" t="s">
        <v>405</v>
      </c>
      <c r="Q102" s="11" t="s">
        <v>59</v>
      </c>
      <c r="R102" s="6" t="s">
        <v>59</v>
      </c>
      <c r="S102" s="6">
        <v>12</v>
      </c>
      <c r="T102" s="6" t="s">
        <v>70</v>
      </c>
      <c r="U102" s="7" t="s">
        <v>157</v>
      </c>
      <c r="V102" s="6" t="s">
        <v>71</v>
      </c>
      <c r="W102" s="231">
        <v>8300000000</v>
      </c>
      <c r="X102" s="231">
        <v>8300000000</v>
      </c>
      <c r="Y102" s="7" t="s">
        <v>50</v>
      </c>
      <c r="Z102" s="15" t="s">
        <v>50</v>
      </c>
      <c r="AA102" s="6" t="s">
        <v>404</v>
      </c>
      <c r="AB102" s="7" t="s">
        <v>52</v>
      </c>
      <c r="AC102" s="6" t="s">
        <v>396</v>
      </c>
      <c r="AD102" s="23" t="s">
        <v>365</v>
      </c>
      <c r="AE102" s="23" t="s">
        <v>366</v>
      </c>
      <c r="AF102" s="7" t="s">
        <v>50</v>
      </c>
      <c r="AG102" s="7" t="s">
        <v>50</v>
      </c>
      <c r="AH102" s="7" t="s">
        <v>50</v>
      </c>
      <c r="AI102" s="265" t="s">
        <v>55</v>
      </c>
      <c r="AJ102" s="278" t="s">
        <v>55</v>
      </c>
      <c r="AK102" s="47" t="s">
        <v>50</v>
      </c>
      <c r="AL102" s="49" t="s">
        <v>50</v>
      </c>
      <c r="AM102" s="48"/>
      <c r="AN102" s="71"/>
      <c r="AO102" s="71">
        <f t="shared" si="2"/>
        <v>8300000000</v>
      </c>
      <c r="AP102" s="49" t="s">
        <v>50</v>
      </c>
      <c r="AQ102" s="280"/>
    </row>
    <row r="103" spans="1:43" ht="71.25" x14ac:dyDescent="0.25">
      <c r="A103" s="32">
        <v>100</v>
      </c>
      <c r="B103" s="32" t="s">
        <v>94</v>
      </c>
      <c r="C103" s="32" t="s">
        <v>95</v>
      </c>
      <c r="D103" s="32" t="s">
        <v>406</v>
      </c>
      <c r="E103" s="34" t="s">
        <v>407</v>
      </c>
      <c r="F103" s="32" t="s">
        <v>40</v>
      </c>
      <c r="G103" s="32" t="s">
        <v>160</v>
      </c>
      <c r="H103" s="34" t="s">
        <v>408</v>
      </c>
      <c r="I103" s="34" t="s">
        <v>409</v>
      </c>
      <c r="J103" s="34" t="s">
        <v>410</v>
      </c>
      <c r="K103" s="32" t="s">
        <v>404</v>
      </c>
      <c r="L103" s="32">
        <v>440</v>
      </c>
      <c r="M103" s="32" t="s">
        <v>404</v>
      </c>
      <c r="N103" s="40">
        <v>2420000000</v>
      </c>
      <c r="O103" s="6" t="s">
        <v>411</v>
      </c>
      <c r="P103" s="6" t="s">
        <v>412</v>
      </c>
      <c r="Q103" s="11" t="s">
        <v>59</v>
      </c>
      <c r="R103" s="6" t="s">
        <v>59</v>
      </c>
      <c r="S103" s="6">
        <v>12</v>
      </c>
      <c r="T103" s="6" t="s">
        <v>70</v>
      </c>
      <c r="U103" s="7" t="s">
        <v>157</v>
      </c>
      <c r="V103" s="6" t="s">
        <v>71</v>
      </c>
      <c r="W103" s="231">
        <v>2300000000</v>
      </c>
      <c r="X103" s="231">
        <v>2300000000</v>
      </c>
      <c r="Y103" s="7" t="s">
        <v>50</v>
      </c>
      <c r="Z103" s="15" t="s">
        <v>50</v>
      </c>
      <c r="AA103" s="6" t="s">
        <v>404</v>
      </c>
      <c r="AB103" s="7" t="s">
        <v>52</v>
      </c>
      <c r="AC103" s="6" t="s">
        <v>396</v>
      </c>
      <c r="AD103" s="23" t="s">
        <v>365</v>
      </c>
      <c r="AE103" s="23" t="s">
        <v>366</v>
      </c>
      <c r="AF103" s="7" t="s">
        <v>50</v>
      </c>
      <c r="AG103" s="7" t="s">
        <v>50</v>
      </c>
      <c r="AH103" s="7" t="s">
        <v>50</v>
      </c>
      <c r="AI103" s="265" t="s">
        <v>55</v>
      </c>
      <c r="AJ103" s="278" t="s">
        <v>55</v>
      </c>
      <c r="AK103" s="47" t="s">
        <v>50</v>
      </c>
      <c r="AL103" s="49" t="s">
        <v>50</v>
      </c>
      <c r="AM103" s="48"/>
      <c r="AN103" s="71"/>
      <c r="AO103" s="71">
        <f t="shared" si="2"/>
        <v>2300000000</v>
      </c>
      <c r="AP103" s="49" t="s">
        <v>50</v>
      </c>
      <c r="AQ103" s="280"/>
    </row>
    <row r="104" spans="1:43" ht="99.75" x14ac:dyDescent="0.25">
      <c r="A104" s="32">
        <v>101</v>
      </c>
      <c r="B104" s="32" t="s">
        <v>36</v>
      </c>
      <c r="C104" s="32" t="s">
        <v>37</v>
      </c>
      <c r="D104" s="32" t="s">
        <v>413</v>
      </c>
      <c r="E104" s="32" t="s">
        <v>414</v>
      </c>
      <c r="F104" s="32" t="s">
        <v>40</v>
      </c>
      <c r="G104" s="32" t="s">
        <v>160</v>
      </c>
      <c r="H104" s="34" t="s">
        <v>415</v>
      </c>
      <c r="I104" s="34" t="s">
        <v>416</v>
      </c>
      <c r="J104" s="39" t="s">
        <v>417</v>
      </c>
      <c r="K104" s="32" t="s">
        <v>404</v>
      </c>
      <c r="L104" s="32">
        <v>440</v>
      </c>
      <c r="M104" s="32" t="s">
        <v>404</v>
      </c>
      <c r="N104" s="17">
        <v>2307220177</v>
      </c>
      <c r="O104" s="6" t="s">
        <v>418</v>
      </c>
      <c r="P104" s="18" t="s">
        <v>419</v>
      </c>
      <c r="Q104" s="13" t="s">
        <v>87</v>
      </c>
      <c r="R104" s="18" t="s">
        <v>79</v>
      </c>
      <c r="S104" s="6">
        <v>12</v>
      </c>
      <c r="T104" s="6" t="s">
        <v>70</v>
      </c>
      <c r="U104" s="7" t="s">
        <v>157</v>
      </c>
      <c r="V104" s="6" t="s">
        <v>71</v>
      </c>
      <c r="W104" s="231">
        <v>1450000000</v>
      </c>
      <c r="X104" s="231">
        <v>1450000000</v>
      </c>
      <c r="Y104" s="7" t="s">
        <v>50</v>
      </c>
      <c r="Z104" s="15" t="s">
        <v>50</v>
      </c>
      <c r="AA104" s="6" t="s">
        <v>404</v>
      </c>
      <c r="AB104" s="7" t="s">
        <v>52</v>
      </c>
      <c r="AC104" s="6" t="s">
        <v>396</v>
      </c>
      <c r="AD104" s="23" t="s">
        <v>365</v>
      </c>
      <c r="AE104" s="23" t="s">
        <v>366</v>
      </c>
      <c r="AF104" s="7" t="s">
        <v>50</v>
      </c>
      <c r="AG104" s="7" t="s">
        <v>50</v>
      </c>
      <c r="AH104" s="7" t="s">
        <v>50</v>
      </c>
      <c r="AI104" s="265" t="s">
        <v>55</v>
      </c>
      <c r="AJ104" s="278" t="s">
        <v>55</v>
      </c>
      <c r="AK104" s="47" t="s">
        <v>50</v>
      </c>
      <c r="AL104" s="49" t="s">
        <v>50</v>
      </c>
      <c r="AM104" s="48"/>
      <c r="AN104" s="71"/>
      <c r="AO104" s="71">
        <f t="shared" si="2"/>
        <v>1450000000</v>
      </c>
      <c r="AP104" s="24" t="s">
        <v>639</v>
      </c>
      <c r="AQ104" s="281" t="s">
        <v>641</v>
      </c>
    </row>
    <row r="105" spans="1:43" ht="85.5" x14ac:dyDescent="0.25">
      <c r="A105" s="32">
        <v>102</v>
      </c>
      <c r="B105" s="32" t="s">
        <v>36</v>
      </c>
      <c r="C105" s="32" t="s">
        <v>37</v>
      </c>
      <c r="D105" s="32" t="s">
        <v>420</v>
      </c>
      <c r="E105" s="32" t="s">
        <v>421</v>
      </c>
      <c r="F105" s="32" t="s">
        <v>40</v>
      </c>
      <c r="G105" s="32" t="s">
        <v>160</v>
      </c>
      <c r="H105" s="32" t="s">
        <v>422</v>
      </c>
      <c r="I105" s="32" t="s">
        <v>423</v>
      </c>
      <c r="J105" s="32" t="s">
        <v>423</v>
      </c>
      <c r="K105" s="32" t="s">
        <v>424</v>
      </c>
      <c r="L105" s="32">
        <v>430</v>
      </c>
      <c r="M105" s="32" t="s">
        <v>424</v>
      </c>
      <c r="N105" s="40">
        <v>100000000</v>
      </c>
      <c r="O105" s="7" t="s">
        <v>425</v>
      </c>
      <c r="P105" s="22" t="s">
        <v>426</v>
      </c>
      <c r="Q105" s="7" t="s">
        <v>59</v>
      </c>
      <c r="R105" s="7" t="s">
        <v>59</v>
      </c>
      <c r="S105" s="7">
        <v>9</v>
      </c>
      <c r="T105" s="7" t="s">
        <v>70</v>
      </c>
      <c r="U105" s="7" t="s">
        <v>157</v>
      </c>
      <c r="V105" s="7" t="s">
        <v>49</v>
      </c>
      <c r="W105" s="233">
        <v>100000000</v>
      </c>
      <c r="X105" s="233">
        <v>100000000</v>
      </c>
      <c r="Y105" s="7" t="s">
        <v>50</v>
      </c>
      <c r="Z105" s="7" t="s">
        <v>50</v>
      </c>
      <c r="AA105" s="7" t="s">
        <v>427</v>
      </c>
      <c r="AB105" s="7" t="s">
        <v>52</v>
      </c>
      <c r="AC105" s="7" t="s">
        <v>428</v>
      </c>
      <c r="AD105" s="7" t="s">
        <v>250</v>
      </c>
      <c r="AE105" s="10" t="s">
        <v>429</v>
      </c>
      <c r="AF105" s="7" t="s">
        <v>50</v>
      </c>
      <c r="AG105" s="7" t="s">
        <v>50</v>
      </c>
      <c r="AH105" s="7" t="s">
        <v>50</v>
      </c>
      <c r="AI105" s="265" t="s">
        <v>55</v>
      </c>
      <c r="AJ105" s="278" t="s">
        <v>55</v>
      </c>
      <c r="AK105" s="47" t="s">
        <v>50</v>
      </c>
      <c r="AL105" s="49" t="s">
        <v>50</v>
      </c>
      <c r="AM105" s="48"/>
      <c r="AN105" s="71"/>
      <c r="AO105" s="71">
        <f t="shared" si="2"/>
        <v>100000000</v>
      </c>
      <c r="AP105" s="49" t="s">
        <v>50</v>
      </c>
      <c r="AQ105" s="280"/>
    </row>
    <row r="106" spans="1:43" ht="71.25" x14ac:dyDescent="0.25">
      <c r="A106" s="32">
        <v>103</v>
      </c>
      <c r="B106" s="32" t="s">
        <v>81</v>
      </c>
      <c r="C106" s="32" t="s">
        <v>82</v>
      </c>
      <c r="D106" s="32" t="s">
        <v>430</v>
      </c>
      <c r="E106" s="32" t="s">
        <v>430</v>
      </c>
      <c r="F106" s="32" t="s">
        <v>40</v>
      </c>
      <c r="G106" s="32" t="s">
        <v>430</v>
      </c>
      <c r="H106" s="32" t="s">
        <v>430</v>
      </c>
      <c r="I106" s="32" t="s">
        <v>430</v>
      </c>
      <c r="J106" s="32" t="s">
        <v>430</v>
      </c>
      <c r="K106" s="32" t="s">
        <v>424</v>
      </c>
      <c r="L106" s="32">
        <v>430</v>
      </c>
      <c r="M106" s="32" t="s">
        <v>424</v>
      </c>
      <c r="N106" s="40">
        <v>0</v>
      </c>
      <c r="O106" s="5" t="s">
        <v>431</v>
      </c>
      <c r="P106" s="25" t="s">
        <v>432</v>
      </c>
      <c r="Q106" s="5" t="s">
        <v>87</v>
      </c>
      <c r="R106" s="5" t="s">
        <v>69</v>
      </c>
      <c r="S106" s="5">
        <v>9</v>
      </c>
      <c r="T106" s="5" t="s">
        <v>70</v>
      </c>
      <c r="U106" s="7" t="s">
        <v>131</v>
      </c>
      <c r="V106" s="5" t="s">
        <v>49</v>
      </c>
      <c r="W106" s="240">
        <v>0</v>
      </c>
      <c r="X106" s="240">
        <v>0</v>
      </c>
      <c r="Y106" s="7" t="s">
        <v>50</v>
      </c>
      <c r="Z106" s="7" t="s">
        <v>50</v>
      </c>
      <c r="AA106" s="7" t="s">
        <v>427</v>
      </c>
      <c r="AB106" s="7" t="s">
        <v>52</v>
      </c>
      <c r="AC106" s="5" t="s">
        <v>428</v>
      </c>
      <c r="AD106" s="7" t="s">
        <v>250</v>
      </c>
      <c r="AE106" s="26" t="s">
        <v>429</v>
      </c>
      <c r="AF106" s="7" t="s">
        <v>50</v>
      </c>
      <c r="AG106" s="7" t="s">
        <v>50</v>
      </c>
      <c r="AH106" s="7" t="s">
        <v>50</v>
      </c>
      <c r="AI106" s="265" t="s">
        <v>55</v>
      </c>
      <c r="AJ106" s="278" t="s">
        <v>55</v>
      </c>
      <c r="AK106" s="47" t="s">
        <v>50</v>
      </c>
      <c r="AL106" s="49" t="s">
        <v>50</v>
      </c>
      <c r="AM106" s="48"/>
      <c r="AN106" s="71"/>
      <c r="AO106" s="71">
        <f t="shared" si="2"/>
        <v>0</v>
      </c>
      <c r="AP106" s="49" t="s">
        <v>50</v>
      </c>
      <c r="AQ106" s="280"/>
    </row>
    <row r="107" spans="1:43" ht="71.25" x14ac:dyDescent="0.25">
      <c r="A107" s="32">
        <v>104</v>
      </c>
      <c r="B107" s="32" t="s">
        <v>81</v>
      </c>
      <c r="C107" s="32" t="s">
        <v>433</v>
      </c>
      <c r="D107" s="32" t="s">
        <v>434</v>
      </c>
      <c r="E107" s="32" t="s">
        <v>435</v>
      </c>
      <c r="F107" s="32" t="s">
        <v>40</v>
      </c>
      <c r="G107" s="32" t="s">
        <v>160</v>
      </c>
      <c r="H107" s="32" t="s">
        <v>436</v>
      </c>
      <c r="I107" s="32" t="s">
        <v>437</v>
      </c>
      <c r="J107" s="32" t="s">
        <v>438</v>
      </c>
      <c r="K107" s="32" t="s">
        <v>424</v>
      </c>
      <c r="L107" s="32">
        <v>430</v>
      </c>
      <c r="M107" s="32" t="s">
        <v>424</v>
      </c>
      <c r="N107" s="40">
        <v>746791936</v>
      </c>
      <c r="O107" s="5">
        <v>25172700</v>
      </c>
      <c r="P107" s="25" t="s">
        <v>439</v>
      </c>
      <c r="Q107" s="5" t="s">
        <v>79</v>
      </c>
      <c r="R107" s="5" t="s">
        <v>79</v>
      </c>
      <c r="S107" s="5">
        <v>8</v>
      </c>
      <c r="T107" s="5" t="s">
        <v>70</v>
      </c>
      <c r="U107" s="7" t="s">
        <v>157</v>
      </c>
      <c r="V107" s="5" t="s">
        <v>49</v>
      </c>
      <c r="W107" s="240">
        <v>750000000</v>
      </c>
      <c r="X107" s="240">
        <v>750000000</v>
      </c>
      <c r="Y107" s="7" t="s">
        <v>50</v>
      </c>
      <c r="Z107" s="7" t="s">
        <v>50</v>
      </c>
      <c r="AA107" s="7" t="s">
        <v>427</v>
      </c>
      <c r="AB107" s="7" t="s">
        <v>52</v>
      </c>
      <c r="AC107" s="5" t="s">
        <v>428</v>
      </c>
      <c r="AD107" s="7" t="s">
        <v>250</v>
      </c>
      <c r="AE107" s="26" t="s">
        <v>429</v>
      </c>
      <c r="AF107" s="7" t="s">
        <v>50</v>
      </c>
      <c r="AG107" s="7" t="s">
        <v>50</v>
      </c>
      <c r="AH107" s="7" t="s">
        <v>50</v>
      </c>
      <c r="AI107" s="265" t="s">
        <v>55</v>
      </c>
      <c r="AJ107" s="278" t="s">
        <v>55</v>
      </c>
      <c r="AK107" s="47" t="s">
        <v>50</v>
      </c>
      <c r="AL107" s="49" t="s">
        <v>50</v>
      </c>
      <c r="AM107" s="48"/>
      <c r="AN107" s="71"/>
      <c r="AO107" s="71">
        <f t="shared" si="2"/>
        <v>750000000</v>
      </c>
      <c r="AP107" s="49" t="s">
        <v>50</v>
      </c>
      <c r="AQ107" s="280"/>
    </row>
    <row r="108" spans="1:43" s="41" customFormat="1" ht="85.5" x14ac:dyDescent="0.25">
      <c r="A108" s="32">
        <v>105</v>
      </c>
      <c r="B108" s="32" t="s">
        <v>36</v>
      </c>
      <c r="C108" s="32" t="s">
        <v>37</v>
      </c>
      <c r="D108" s="32" t="s">
        <v>444</v>
      </c>
      <c r="E108" s="32" t="s">
        <v>445</v>
      </c>
      <c r="F108" s="32" t="s">
        <v>40</v>
      </c>
      <c r="G108" s="32" t="s">
        <v>438</v>
      </c>
      <c r="H108" s="32" t="s">
        <v>42</v>
      </c>
      <c r="I108" s="32" t="s">
        <v>43</v>
      </c>
      <c r="J108" s="32" t="s">
        <v>446</v>
      </c>
      <c r="K108" s="32" t="s">
        <v>447</v>
      </c>
      <c r="L108" s="32">
        <v>200</v>
      </c>
      <c r="M108" s="32" t="s">
        <v>447</v>
      </c>
      <c r="N108" s="17">
        <v>288000000</v>
      </c>
      <c r="O108" s="23">
        <v>80111600</v>
      </c>
      <c r="P108" s="18" t="s">
        <v>448</v>
      </c>
      <c r="Q108" s="13" t="s">
        <v>59</v>
      </c>
      <c r="R108" s="13" t="s">
        <v>59</v>
      </c>
      <c r="S108" s="18">
        <v>180</v>
      </c>
      <c r="T108" s="18" t="s">
        <v>47</v>
      </c>
      <c r="U108" s="18" t="s">
        <v>48</v>
      </c>
      <c r="V108" s="18" t="s">
        <v>71</v>
      </c>
      <c r="W108" s="232">
        <v>54600000</v>
      </c>
      <c r="X108" s="232">
        <v>54600000</v>
      </c>
      <c r="Y108" s="22" t="s">
        <v>50</v>
      </c>
      <c r="Z108" s="22" t="s">
        <v>50</v>
      </c>
      <c r="AA108" s="18" t="s">
        <v>447</v>
      </c>
      <c r="AB108" s="22" t="s">
        <v>52</v>
      </c>
      <c r="AC108" s="18" t="s">
        <v>449</v>
      </c>
      <c r="AD108" s="18">
        <v>6017431444</v>
      </c>
      <c r="AE108" s="79" t="s">
        <v>450</v>
      </c>
      <c r="AF108" s="18" t="s">
        <v>50</v>
      </c>
      <c r="AG108" s="22" t="s">
        <v>50</v>
      </c>
      <c r="AH108" s="22" t="s">
        <v>50</v>
      </c>
      <c r="AI108" s="268" t="s">
        <v>50</v>
      </c>
      <c r="AJ108" s="278" t="s">
        <v>55</v>
      </c>
      <c r="AK108" s="49" t="s">
        <v>55</v>
      </c>
      <c r="AL108" s="49" t="s">
        <v>55</v>
      </c>
      <c r="AM108" s="33" t="s">
        <v>476</v>
      </c>
      <c r="AN108" s="72">
        <v>54600000</v>
      </c>
      <c r="AO108" s="71">
        <f t="shared" si="2"/>
        <v>0</v>
      </c>
      <c r="AP108" s="49" t="s">
        <v>476</v>
      </c>
      <c r="AQ108" s="280">
        <f>VLOOKUP(AM108,[1]Hoja2!$B:$W,18,0)</f>
        <v>45896</v>
      </c>
    </row>
    <row r="109" spans="1:43" s="41" customFormat="1" ht="85.5" x14ac:dyDescent="0.25">
      <c r="A109" s="32">
        <v>106</v>
      </c>
      <c r="B109" s="32" t="s">
        <v>36</v>
      </c>
      <c r="C109" s="32" t="s">
        <v>37</v>
      </c>
      <c r="D109" s="32" t="s">
        <v>444</v>
      </c>
      <c r="E109" s="32" t="s">
        <v>445</v>
      </c>
      <c r="F109" s="32" t="s">
        <v>40</v>
      </c>
      <c r="G109" s="32" t="s">
        <v>438</v>
      </c>
      <c r="H109" s="32" t="s">
        <v>42</v>
      </c>
      <c r="I109" s="32" t="s">
        <v>43</v>
      </c>
      <c r="J109" s="32" t="s">
        <v>446</v>
      </c>
      <c r="K109" s="32" t="s">
        <v>447</v>
      </c>
      <c r="L109" s="32">
        <v>200</v>
      </c>
      <c r="M109" s="32" t="s">
        <v>447</v>
      </c>
      <c r="N109" s="17">
        <v>288000000</v>
      </c>
      <c r="O109" s="23">
        <v>80111600</v>
      </c>
      <c r="P109" s="18" t="s">
        <v>451</v>
      </c>
      <c r="Q109" s="13" t="s">
        <v>59</v>
      </c>
      <c r="R109" s="13" t="s">
        <v>59</v>
      </c>
      <c r="S109" s="18">
        <v>180</v>
      </c>
      <c r="T109" s="18" t="s">
        <v>47</v>
      </c>
      <c r="U109" s="18" t="s">
        <v>48</v>
      </c>
      <c r="V109" s="18" t="s">
        <v>71</v>
      </c>
      <c r="W109" s="232">
        <v>54600000</v>
      </c>
      <c r="X109" s="232">
        <v>54600000</v>
      </c>
      <c r="Y109" s="22" t="s">
        <v>50</v>
      </c>
      <c r="Z109" s="22" t="s">
        <v>50</v>
      </c>
      <c r="AA109" s="18" t="s">
        <v>447</v>
      </c>
      <c r="AB109" s="22" t="s">
        <v>52</v>
      </c>
      <c r="AC109" s="18" t="s">
        <v>449</v>
      </c>
      <c r="AD109" s="18">
        <v>6017431444</v>
      </c>
      <c r="AE109" s="18" t="s">
        <v>450</v>
      </c>
      <c r="AF109" s="18" t="s">
        <v>50</v>
      </c>
      <c r="AG109" s="22" t="s">
        <v>50</v>
      </c>
      <c r="AH109" s="22" t="s">
        <v>50</v>
      </c>
      <c r="AI109" s="268" t="s">
        <v>50</v>
      </c>
      <c r="AJ109" s="278" t="s">
        <v>55</v>
      </c>
      <c r="AK109" s="49" t="s">
        <v>55</v>
      </c>
      <c r="AL109" s="49" t="s">
        <v>55</v>
      </c>
      <c r="AM109" s="33" t="s">
        <v>477</v>
      </c>
      <c r="AN109" s="72">
        <v>54600000</v>
      </c>
      <c r="AO109" s="71">
        <f t="shared" si="2"/>
        <v>0</v>
      </c>
      <c r="AP109" s="49" t="s">
        <v>477</v>
      </c>
      <c r="AQ109" s="280">
        <f>VLOOKUP(AM109,[1]Hoja2!$B:$W,18,0)</f>
        <v>45896</v>
      </c>
    </row>
    <row r="110" spans="1:43" s="41" customFormat="1" ht="85.5" x14ac:dyDescent="0.25">
      <c r="A110" s="32">
        <v>107</v>
      </c>
      <c r="B110" s="32" t="s">
        <v>36</v>
      </c>
      <c r="C110" s="32" t="s">
        <v>37</v>
      </c>
      <c r="D110" s="32" t="s">
        <v>444</v>
      </c>
      <c r="E110" s="32" t="s">
        <v>445</v>
      </c>
      <c r="F110" s="32" t="s">
        <v>40</v>
      </c>
      <c r="G110" s="32" t="s">
        <v>438</v>
      </c>
      <c r="H110" s="32" t="s">
        <v>42</v>
      </c>
      <c r="I110" s="32" t="s">
        <v>43</v>
      </c>
      <c r="J110" s="32" t="s">
        <v>446</v>
      </c>
      <c r="K110" s="32" t="s">
        <v>447</v>
      </c>
      <c r="L110" s="32">
        <v>200</v>
      </c>
      <c r="M110" s="32" t="s">
        <v>447</v>
      </c>
      <c r="N110" s="17">
        <v>288000000</v>
      </c>
      <c r="O110" s="23">
        <v>80111600</v>
      </c>
      <c r="P110" s="18" t="s">
        <v>452</v>
      </c>
      <c r="Q110" s="13" t="s">
        <v>59</v>
      </c>
      <c r="R110" s="13" t="s">
        <v>59</v>
      </c>
      <c r="S110" s="18">
        <v>6</v>
      </c>
      <c r="T110" s="18" t="s">
        <v>70</v>
      </c>
      <c r="U110" s="18" t="s">
        <v>48</v>
      </c>
      <c r="V110" s="18" t="s">
        <v>71</v>
      </c>
      <c r="W110" s="232">
        <v>54600000</v>
      </c>
      <c r="X110" s="232">
        <v>54600000</v>
      </c>
      <c r="Y110" s="22" t="s">
        <v>50</v>
      </c>
      <c r="Z110" s="22" t="s">
        <v>50</v>
      </c>
      <c r="AA110" s="18" t="s">
        <v>447</v>
      </c>
      <c r="AB110" s="22" t="s">
        <v>52</v>
      </c>
      <c r="AC110" s="18" t="s">
        <v>449</v>
      </c>
      <c r="AD110" s="18">
        <v>6017431444</v>
      </c>
      <c r="AE110" s="18" t="s">
        <v>450</v>
      </c>
      <c r="AF110" s="18" t="s">
        <v>50</v>
      </c>
      <c r="AG110" s="22" t="s">
        <v>50</v>
      </c>
      <c r="AH110" s="22" t="s">
        <v>50</v>
      </c>
      <c r="AI110" s="268" t="s">
        <v>50</v>
      </c>
      <c r="AJ110" s="278" t="s">
        <v>55</v>
      </c>
      <c r="AK110" s="49" t="s">
        <v>55</v>
      </c>
      <c r="AL110" s="49" t="s">
        <v>55</v>
      </c>
      <c r="AM110" s="33" t="s">
        <v>478</v>
      </c>
      <c r="AN110" s="72">
        <v>54600000</v>
      </c>
      <c r="AO110" s="71">
        <f t="shared" si="2"/>
        <v>0</v>
      </c>
      <c r="AP110" s="49" t="s">
        <v>478</v>
      </c>
      <c r="AQ110" s="280">
        <f>VLOOKUP(AM110,[1]Hoja2!$B:$W,18,0)</f>
        <v>45887</v>
      </c>
    </row>
    <row r="111" spans="1:43" ht="85.5" x14ac:dyDescent="0.25">
      <c r="A111" s="56">
        <v>108</v>
      </c>
      <c r="B111" s="56" t="s">
        <v>36</v>
      </c>
      <c r="C111" s="56" t="s">
        <v>37</v>
      </c>
      <c r="D111" s="56" t="s">
        <v>444</v>
      </c>
      <c r="E111" s="56" t="s">
        <v>445</v>
      </c>
      <c r="F111" s="56" t="s">
        <v>40</v>
      </c>
      <c r="G111" s="56" t="s">
        <v>438</v>
      </c>
      <c r="H111" s="56" t="s">
        <v>42</v>
      </c>
      <c r="I111" s="56" t="s">
        <v>43</v>
      </c>
      <c r="J111" s="56" t="s">
        <v>446</v>
      </c>
      <c r="K111" s="56" t="s">
        <v>447</v>
      </c>
      <c r="L111" s="56">
        <v>200</v>
      </c>
      <c r="M111" s="56" t="s">
        <v>447</v>
      </c>
      <c r="N111" s="61">
        <v>288000000</v>
      </c>
      <c r="O111" s="62">
        <v>80111600</v>
      </c>
      <c r="P111" s="56" t="s">
        <v>486</v>
      </c>
      <c r="Q111" s="58" t="s">
        <v>87</v>
      </c>
      <c r="R111" s="58" t="s">
        <v>87</v>
      </c>
      <c r="S111" s="56">
        <v>2</v>
      </c>
      <c r="T111" s="56" t="s">
        <v>70</v>
      </c>
      <c r="U111" s="56" t="s">
        <v>48</v>
      </c>
      <c r="V111" s="56" t="s">
        <v>71</v>
      </c>
      <c r="W111" s="241">
        <v>44000000</v>
      </c>
      <c r="X111" s="241">
        <v>44000000</v>
      </c>
      <c r="Y111" s="57" t="s">
        <v>50</v>
      </c>
      <c r="Z111" s="57" t="s">
        <v>50</v>
      </c>
      <c r="AA111" s="56" t="s">
        <v>447</v>
      </c>
      <c r="AB111" s="57" t="s">
        <v>52</v>
      </c>
      <c r="AC111" s="56" t="s">
        <v>449</v>
      </c>
      <c r="AD111" s="56">
        <v>6017431444</v>
      </c>
      <c r="AE111" s="56" t="s">
        <v>450</v>
      </c>
      <c r="AF111" s="53" t="s">
        <v>50</v>
      </c>
      <c r="AG111" s="53" t="s">
        <v>50</v>
      </c>
      <c r="AH111" s="53" t="s">
        <v>50</v>
      </c>
      <c r="AI111" s="269" t="s">
        <v>55</v>
      </c>
      <c r="AJ111" s="282" t="s">
        <v>50</v>
      </c>
      <c r="AK111" s="6" t="s">
        <v>55</v>
      </c>
      <c r="AL111" s="6" t="s">
        <v>55</v>
      </c>
      <c r="AM111" s="48" t="s">
        <v>578</v>
      </c>
      <c r="AN111" s="71">
        <v>50818950</v>
      </c>
      <c r="AO111" s="71">
        <f t="shared" si="2"/>
        <v>-6818950</v>
      </c>
      <c r="AP111" s="118" t="s">
        <v>578</v>
      </c>
      <c r="AQ111" s="283">
        <f>VLOOKUP(AM111,[1]Hoja2!$B:$W,18,0)</f>
        <v>45796</v>
      </c>
    </row>
    <row r="112" spans="1:43" ht="85.5" x14ac:dyDescent="0.25">
      <c r="A112" s="56">
        <v>109</v>
      </c>
      <c r="B112" s="59" t="s">
        <v>94</v>
      </c>
      <c r="C112" s="59" t="s">
        <v>37</v>
      </c>
      <c r="D112" s="84" t="s">
        <v>487</v>
      </c>
      <c r="E112" s="56" t="s">
        <v>488</v>
      </c>
      <c r="F112" s="56" t="s">
        <v>40</v>
      </c>
      <c r="G112" s="80" t="s">
        <v>112</v>
      </c>
      <c r="H112" s="80" t="s">
        <v>263</v>
      </c>
      <c r="I112" s="59" t="s">
        <v>489</v>
      </c>
      <c r="J112" s="59" t="s">
        <v>489</v>
      </c>
      <c r="K112" s="56" t="s">
        <v>493</v>
      </c>
      <c r="L112" s="80">
        <v>103</v>
      </c>
      <c r="M112" s="56" t="s">
        <v>493</v>
      </c>
      <c r="N112" s="81">
        <v>633394976</v>
      </c>
      <c r="O112" s="62" t="s">
        <v>491</v>
      </c>
      <c r="P112" s="56" t="s">
        <v>520</v>
      </c>
      <c r="Q112" s="58" t="s">
        <v>87</v>
      </c>
      <c r="R112" s="58" t="s">
        <v>87</v>
      </c>
      <c r="S112" s="56">
        <v>12</v>
      </c>
      <c r="T112" s="56" t="s">
        <v>70</v>
      </c>
      <c r="U112" s="56" t="s">
        <v>111</v>
      </c>
      <c r="V112" s="56" t="s">
        <v>492</v>
      </c>
      <c r="W112" s="241">
        <v>45170124</v>
      </c>
      <c r="X112" s="241">
        <v>37052633</v>
      </c>
      <c r="Y112" s="57">
        <v>1</v>
      </c>
      <c r="Z112" s="57">
        <v>1</v>
      </c>
      <c r="AA112" s="56" t="s">
        <v>493</v>
      </c>
      <c r="AB112" s="57" t="s">
        <v>52</v>
      </c>
      <c r="AC112" s="56" t="s">
        <v>494</v>
      </c>
      <c r="AD112" s="56" t="s">
        <v>495</v>
      </c>
      <c r="AE112" s="56" t="s">
        <v>496</v>
      </c>
      <c r="AF112" s="53" t="s">
        <v>55</v>
      </c>
      <c r="AG112" s="53" t="s">
        <v>50</v>
      </c>
      <c r="AH112" s="53" t="s">
        <v>50</v>
      </c>
      <c r="AI112" s="269" t="s">
        <v>55</v>
      </c>
      <c r="AJ112" s="282" t="s">
        <v>50</v>
      </c>
      <c r="AK112" s="6" t="s">
        <v>50</v>
      </c>
      <c r="AL112" s="6" t="s">
        <v>50</v>
      </c>
      <c r="AM112" s="48"/>
      <c r="AN112" s="71"/>
      <c r="AO112" s="71">
        <f t="shared" si="2"/>
        <v>45170124</v>
      </c>
      <c r="AP112" s="118" t="s">
        <v>50</v>
      </c>
      <c r="AQ112" s="283"/>
    </row>
    <row r="113" spans="1:43" ht="85.5" x14ac:dyDescent="0.25">
      <c r="A113" s="56">
        <v>110</v>
      </c>
      <c r="B113" s="59" t="s">
        <v>94</v>
      </c>
      <c r="C113" s="59" t="s">
        <v>37</v>
      </c>
      <c r="D113" s="59" t="s">
        <v>497</v>
      </c>
      <c r="E113" s="56" t="s">
        <v>498</v>
      </c>
      <c r="F113" s="56" t="s">
        <v>40</v>
      </c>
      <c r="G113" s="80" t="s">
        <v>112</v>
      </c>
      <c r="H113" s="80" t="s">
        <v>499</v>
      </c>
      <c r="I113" s="59" t="s">
        <v>500</v>
      </c>
      <c r="J113" s="59" t="s">
        <v>43</v>
      </c>
      <c r="K113" s="56" t="s">
        <v>493</v>
      </c>
      <c r="L113" s="80">
        <v>103</v>
      </c>
      <c r="M113" s="56" t="s">
        <v>493</v>
      </c>
      <c r="N113" s="81">
        <v>29950000</v>
      </c>
      <c r="O113" s="62" t="s">
        <v>501</v>
      </c>
      <c r="P113" s="56" t="s">
        <v>502</v>
      </c>
      <c r="Q113" s="58" t="s">
        <v>87</v>
      </c>
      <c r="R113" s="58" t="s">
        <v>87</v>
      </c>
      <c r="S113" s="58">
        <v>4</v>
      </c>
      <c r="T113" s="58" t="s">
        <v>70</v>
      </c>
      <c r="U113" s="58" t="s">
        <v>111</v>
      </c>
      <c r="V113" s="58" t="s">
        <v>492</v>
      </c>
      <c r="W113" s="241">
        <v>29950000</v>
      </c>
      <c r="X113" s="241">
        <v>29950000</v>
      </c>
      <c r="Y113" s="58" t="s">
        <v>50</v>
      </c>
      <c r="Z113" s="58" t="s">
        <v>50</v>
      </c>
      <c r="AA113" s="56" t="s">
        <v>493</v>
      </c>
      <c r="AB113" s="57" t="s">
        <v>52</v>
      </c>
      <c r="AC113" s="56" t="s">
        <v>494</v>
      </c>
      <c r="AD113" s="56" t="s">
        <v>495</v>
      </c>
      <c r="AE113" s="56" t="s">
        <v>496</v>
      </c>
      <c r="AF113" s="53" t="s">
        <v>55</v>
      </c>
      <c r="AG113" s="53" t="s">
        <v>50</v>
      </c>
      <c r="AH113" s="53" t="s">
        <v>50</v>
      </c>
      <c r="AI113" s="269" t="s">
        <v>55</v>
      </c>
      <c r="AJ113" s="282" t="s">
        <v>50</v>
      </c>
      <c r="AK113" s="6" t="s">
        <v>50</v>
      </c>
      <c r="AL113" s="6" t="s">
        <v>50</v>
      </c>
      <c r="AM113" s="48"/>
      <c r="AN113" s="71"/>
      <c r="AO113" s="71">
        <f t="shared" si="2"/>
        <v>29950000</v>
      </c>
      <c r="AP113" s="118" t="s">
        <v>50</v>
      </c>
      <c r="AQ113" s="283"/>
    </row>
    <row r="114" spans="1:43" ht="85.5" x14ac:dyDescent="0.25">
      <c r="A114" s="56">
        <v>111</v>
      </c>
      <c r="B114" s="56" t="s">
        <v>36</v>
      </c>
      <c r="C114" s="56" t="s">
        <v>37</v>
      </c>
      <c r="D114" s="56" t="s">
        <v>83</v>
      </c>
      <c r="E114" s="56" t="s">
        <v>84</v>
      </c>
      <c r="F114" s="56" t="s">
        <v>40</v>
      </c>
      <c r="G114" s="56" t="s">
        <v>41</v>
      </c>
      <c r="H114" s="56" t="s">
        <v>42</v>
      </c>
      <c r="I114" s="56" t="s">
        <v>43</v>
      </c>
      <c r="J114" s="56" t="s">
        <v>43</v>
      </c>
      <c r="K114" s="56" t="s">
        <v>85</v>
      </c>
      <c r="L114" s="56">
        <v>410</v>
      </c>
      <c r="M114" s="56" t="s">
        <v>85</v>
      </c>
      <c r="N114" s="81">
        <v>682400000</v>
      </c>
      <c r="O114" s="63">
        <v>80111600</v>
      </c>
      <c r="P114" s="64" t="s">
        <v>599</v>
      </c>
      <c r="Q114" s="58" t="s">
        <v>87</v>
      </c>
      <c r="R114" s="58" t="s">
        <v>79</v>
      </c>
      <c r="S114" s="58">
        <v>9</v>
      </c>
      <c r="T114" s="58" t="s">
        <v>70</v>
      </c>
      <c r="U114" s="58" t="s">
        <v>48</v>
      </c>
      <c r="V114" s="58" t="s">
        <v>71</v>
      </c>
      <c r="W114" s="241">
        <v>62100000</v>
      </c>
      <c r="X114" s="241">
        <v>62100000</v>
      </c>
      <c r="Y114" s="58" t="s">
        <v>50</v>
      </c>
      <c r="Z114" s="58" t="s">
        <v>50</v>
      </c>
      <c r="AA114" s="59" t="s">
        <v>88</v>
      </c>
      <c r="AB114" s="60" t="s">
        <v>52</v>
      </c>
      <c r="AC114" s="59" t="s">
        <v>350</v>
      </c>
      <c r="AD114" s="59">
        <v>7431444</v>
      </c>
      <c r="AE114" s="59" t="s">
        <v>351</v>
      </c>
      <c r="AF114" s="54" t="s">
        <v>50</v>
      </c>
      <c r="AG114" s="55" t="s">
        <v>50</v>
      </c>
      <c r="AH114" s="55" t="s">
        <v>50</v>
      </c>
      <c r="AI114" s="270" t="s">
        <v>55</v>
      </c>
      <c r="AJ114" s="282" t="s">
        <v>50</v>
      </c>
      <c r="AK114" s="6" t="s">
        <v>55</v>
      </c>
      <c r="AL114" s="6" t="s">
        <v>50</v>
      </c>
      <c r="AM114" s="48"/>
      <c r="AN114" s="71"/>
      <c r="AO114" s="71">
        <f t="shared" si="2"/>
        <v>62100000</v>
      </c>
      <c r="AP114" s="6" t="s">
        <v>565</v>
      </c>
      <c r="AQ114" s="284"/>
    </row>
    <row r="115" spans="1:43" ht="85.5" x14ac:dyDescent="0.25">
      <c r="A115" s="56">
        <v>112</v>
      </c>
      <c r="B115" s="56" t="s">
        <v>36</v>
      </c>
      <c r="C115" s="56" t="s">
        <v>37</v>
      </c>
      <c r="D115" s="56" t="s">
        <v>83</v>
      </c>
      <c r="E115" s="56" t="s">
        <v>84</v>
      </c>
      <c r="F115" s="56" t="s">
        <v>40</v>
      </c>
      <c r="G115" s="56" t="s">
        <v>41</v>
      </c>
      <c r="H115" s="56" t="s">
        <v>42</v>
      </c>
      <c r="I115" s="56" t="s">
        <v>43</v>
      </c>
      <c r="J115" s="56" t="s">
        <v>43</v>
      </c>
      <c r="K115" s="56" t="s">
        <v>85</v>
      </c>
      <c r="L115" s="56">
        <v>410</v>
      </c>
      <c r="M115" s="56" t="s">
        <v>85</v>
      </c>
      <c r="N115" s="81">
        <v>682400000</v>
      </c>
      <c r="O115" s="63">
        <v>80111600</v>
      </c>
      <c r="P115" s="64" t="s">
        <v>503</v>
      </c>
      <c r="Q115" s="58" t="s">
        <v>87</v>
      </c>
      <c r="R115" s="58" t="s">
        <v>79</v>
      </c>
      <c r="S115" s="58">
        <v>9</v>
      </c>
      <c r="T115" s="58" t="s">
        <v>70</v>
      </c>
      <c r="U115" s="58" t="s">
        <v>48</v>
      </c>
      <c r="V115" s="58" t="s">
        <v>71</v>
      </c>
      <c r="W115" s="241">
        <v>90000000</v>
      </c>
      <c r="X115" s="241">
        <v>90000000</v>
      </c>
      <c r="Y115" s="58" t="s">
        <v>50</v>
      </c>
      <c r="Z115" s="58" t="s">
        <v>50</v>
      </c>
      <c r="AA115" s="59" t="s">
        <v>88</v>
      </c>
      <c r="AB115" s="60" t="s">
        <v>52</v>
      </c>
      <c r="AC115" s="59" t="s">
        <v>350</v>
      </c>
      <c r="AD115" s="59">
        <v>7431444</v>
      </c>
      <c r="AE115" s="59" t="s">
        <v>351</v>
      </c>
      <c r="AF115" s="54" t="s">
        <v>50</v>
      </c>
      <c r="AG115" s="55" t="s">
        <v>50</v>
      </c>
      <c r="AH115" s="55" t="s">
        <v>50</v>
      </c>
      <c r="AI115" s="270" t="s">
        <v>55</v>
      </c>
      <c r="AJ115" s="282" t="s">
        <v>50</v>
      </c>
      <c r="AK115" s="6" t="s">
        <v>55</v>
      </c>
      <c r="AL115" s="6" t="s">
        <v>50</v>
      </c>
      <c r="AM115" s="48"/>
      <c r="AN115" s="71"/>
      <c r="AO115" s="71">
        <f t="shared" si="2"/>
        <v>90000000</v>
      </c>
      <c r="AP115" s="6" t="s">
        <v>565</v>
      </c>
      <c r="AQ115" s="284"/>
    </row>
    <row r="116" spans="1:43" ht="128.25" x14ac:dyDescent="0.25">
      <c r="A116" s="56">
        <v>113</v>
      </c>
      <c r="B116" s="56" t="s">
        <v>36</v>
      </c>
      <c r="C116" s="56" t="s">
        <v>37</v>
      </c>
      <c r="D116" s="56" t="s">
        <v>347</v>
      </c>
      <c r="E116" s="56" t="s">
        <v>348</v>
      </c>
      <c r="F116" s="56" t="s">
        <v>40</v>
      </c>
      <c r="G116" s="56" t="s">
        <v>64</v>
      </c>
      <c r="H116" s="56" t="s">
        <v>65</v>
      </c>
      <c r="I116" s="56" t="s">
        <v>66</v>
      </c>
      <c r="J116" s="56" t="s">
        <v>66</v>
      </c>
      <c r="K116" s="56" t="s">
        <v>349</v>
      </c>
      <c r="L116" s="56">
        <v>400</v>
      </c>
      <c r="M116" s="56" t="s">
        <v>349</v>
      </c>
      <c r="N116" s="81">
        <v>388000000</v>
      </c>
      <c r="O116" s="63">
        <v>80111600</v>
      </c>
      <c r="P116" s="64" t="s">
        <v>504</v>
      </c>
      <c r="Q116" s="58" t="s">
        <v>87</v>
      </c>
      <c r="R116" s="58" t="s">
        <v>79</v>
      </c>
      <c r="S116" s="58">
        <v>9</v>
      </c>
      <c r="T116" s="58" t="s">
        <v>70</v>
      </c>
      <c r="U116" s="58" t="s">
        <v>48</v>
      </c>
      <c r="V116" s="58" t="s">
        <v>71</v>
      </c>
      <c r="W116" s="241">
        <v>81000000</v>
      </c>
      <c r="X116" s="241">
        <v>81000000</v>
      </c>
      <c r="Y116" s="58" t="s">
        <v>50</v>
      </c>
      <c r="Z116" s="58" t="s">
        <v>50</v>
      </c>
      <c r="AA116" s="59" t="s">
        <v>349</v>
      </c>
      <c r="AB116" s="60" t="s">
        <v>52</v>
      </c>
      <c r="AC116" s="59" t="s">
        <v>350</v>
      </c>
      <c r="AD116" s="59">
        <v>6017431444</v>
      </c>
      <c r="AE116" s="59" t="s">
        <v>351</v>
      </c>
      <c r="AF116" s="54" t="s">
        <v>50</v>
      </c>
      <c r="AG116" s="55" t="s">
        <v>50</v>
      </c>
      <c r="AH116" s="55" t="s">
        <v>50</v>
      </c>
      <c r="AI116" s="271" t="s">
        <v>55</v>
      </c>
      <c r="AJ116" s="282" t="s">
        <v>50</v>
      </c>
      <c r="AK116" s="6" t="s">
        <v>50</v>
      </c>
      <c r="AL116" s="6" t="s">
        <v>50</v>
      </c>
      <c r="AM116" s="48"/>
      <c r="AN116" s="71"/>
      <c r="AO116" s="71">
        <f t="shared" si="2"/>
        <v>81000000</v>
      </c>
      <c r="AP116" s="118"/>
      <c r="AQ116" s="283"/>
    </row>
    <row r="117" spans="1:43" ht="71.25" x14ac:dyDescent="0.25">
      <c r="A117" s="56">
        <v>114</v>
      </c>
      <c r="B117" s="56" t="s">
        <v>94</v>
      </c>
      <c r="C117" s="56" t="s">
        <v>95</v>
      </c>
      <c r="D117" s="56" t="s">
        <v>96</v>
      </c>
      <c r="E117" s="56" t="s">
        <v>97</v>
      </c>
      <c r="F117" s="56" t="s">
        <v>40</v>
      </c>
      <c r="G117" s="56" t="s">
        <v>64</v>
      </c>
      <c r="H117" s="56" t="s">
        <v>65</v>
      </c>
      <c r="I117" s="56" t="s">
        <v>66</v>
      </c>
      <c r="J117" s="56" t="s">
        <v>66</v>
      </c>
      <c r="K117" s="56" t="s">
        <v>98</v>
      </c>
      <c r="L117" s="56">
        <v>420</v>
      </c>
      <c r="M117" s="56" t="s">
        <v>98</v>
      </c>
      <c r="N117" s="81">
        <v>403500000</v>
      </c>
      <c r="O117" s="63">
        <v>80111600</v>
      </c>
      <c r="P117" s="64" t="s">
        <v>505</v>
      </c>
      <c r="Q117" s="58" t="s">
        <v>87</v>
      </c>
      <c r="R117" s="58" t="s">
        <v>79</v>
      </c>
      <c r="S117" s="58">
        <v>9</v>
      </c>
      <c r="T117" s="58" t="s">
        <v>70</v>
      </c>
      <c r="U117" s="58" t="s">
        <v>48</v>
      </c>
      <c r="V117" s="58" t="s">
        <v>49</v>
      </c>
      <c r="W117" s="241">
        <v>90000000</v>
      </c>
      <c r="X117" s="241">
        <v>90000000</v>
      </c>
      <c r="Y117" s="58" t="s">
        <v>50</v>
      </c>
      <c r="Z117" s="58" t="s">
        <v>50</v>
      </c>
      <c r="AA117" s="59" t="s">
        <v>98</v>
      </c>
      <c r="AB117" s="60" t="s">
        <v>52</v>
      </c>
      <c r="AC117" s="59" t="s">
        <v>506</v>
      </c>
      <c r="AD117" s="59">
        <v>6017431444</v>
      </c>
      <c r="AE117" s="59" t="s">
        <v>507</v>
      </c>
      <c r="AF117" s="54" t="s">
        <v>101</v>
      </c>
      <c r="AG117" s="55" t="s">
        <v>50</v>
      </c>
      <c r="AH117" s="55" t="s">
        <v>50</v>
      </c>
      <c r="AI117" s="270" t="s">
        <v>55</v>
      </c>
      <c r="AJ117" s="282" t="s">
        <v>50</v>
      </c>
      <c r="AK117" s="6" t="s">
        <v>55</v>
      </c>
      <c r="AL117" s="6" t="s">
        <v>55</v>
      </c>
      <c r="AM117" s="48" t="s">
        <v>613</v>
      </c>
      <c r="AN117" s="71">
        <v>90000000</v>
      </c>
      <c r="AO117" s="71">
        <f t="shared" si="2"/>
        <v>0</v>
      </c>
      <c r="AP117" s="118" t="s">
        <v>613</v>
      </c>
      <c r="AQ117" s="283">
        <v>46022</v>
      </c>
    </row>
    <row r="118" spans="1:43" ht="71.25" x14ac:dyDescent="0.25">
      <c r="A118" s="56">
        <v>115</v>
      </c>
      <c r="B118" s="56" t="s">
        <v>94</v>
      </c>
      <c r="C118" s="56" t="s">
        <v>95</v>
      </c>
      <c r="D118" s="56" t="s">
        <v>96</v>
      </c>
      <c r="E118" s="56" t="s">
        <v>97</v>
      </c>
      <c r="F118" s="56" t="s">
        <v>40</v>
      </c>
      <c r="G118" s="56" t="s">
        <v>64</v>
      </c>
      <c r="H118" s="56" t="s">
        <v>65</v>
      </c>
      <c r="I118" s="56" t="s">
        <v>66</v>
      </c>
      <c r="J118" s="56" t="s">
        <v>66</v>
      </c>
      <c r="K118" s="56" t="s">
        <v>98</v>
      </c>
      <c r="L118" s="56">
        <v>420</v>
      </c>
      <c r="M118" s="56" t="s">
        <v>98</v>
      </c>
      <c r="N118" s="81">
        <v>403500000</v>
      </c>
      <c r="O118" s="63">
        <v>80111600</v>
      </c>
      <c r="P118" s="64" t="s">
        <v>505</v>
      </c>
      <c r="Q118" s="58" t="s">
        <v>87</v>
      </c>
      <c r="R118" s="58" t="s">
        <v>79</v>
      </c>
      <c r="S118" s="58">
        <v>9</v>
      </c>
      <c r="T118" s="58" t="s">
        <v>70</v>
      </c>
      <c r="U118" s="58" t="s">
        <v>48</v>
      </c>
      <c r="V118" s="58" t="s">
        <v>49</v>
      </c>
      <c r="W118" s="241">
        <v>70200000</v>
      </c>
      <c r="X118" s="241">
        <v>70200000</v>
      </c>
      <c r="Y118" s="58" t="s">
        <v>50</v>
      </c>
      <c r="Z118" s="58" t="s">
        <v>50</v>
      </c>
      <c r="AA118" s="59" t="s">
        <v>98</v>
      </c>
      <c r="AB118" s="60" t="s">
        <v>52</v>
      </c>
      <c r="AC118" s="59" t="s">
        <v>506</v>
      </c>
      <c r="AD118" s="59">
        <v>6017431444</v>
      </c>
      <c r="AE118" s="59" t="s">
        <v>507</v>
      </c>
      <c r="AF118" s="54" t="s">
        <v>101</v>
      </c>
      <c r="AG118" s="55" t="s">
        <v>50</v>
      </c>
      <c r="AH118" s="55" t="s">
        <v>50</v>
      </c>
      <c r="AI118" s="270" t="s">
        <v>55</v>
      </c>
      <c r="AJ118" s="282" t="s">
        <v>50</v>
      </c>
      <c r="AK118" s="6" t="s">
        <v>55</v>
      </c>
      <c r="AL118" s="6" t="s">
        <v>50</v>
      </c>
      <c r="AM118" s="48" t="s">
        <v>616</v>
      </c>
      <c r="AN118" s="71"/>
      <c r="AO118" s="71">
        <f t="shared" si="2"/>
        <v>70200000</v>
      </c>
      <c r="AP118" s="118" t="s">
        <v>616</v>
      </c>
      <c r="AQ118" s="283"/>
    </row>
    <row r="119" spans="1:43" ht="71.25" x14ac:dyDescent="0.25">
      <c r="A119" s="56">
        <v>116</v>
      </c>
      <c r="B119" s="56" t="s">
        <v>94</v>
      </c>
      <c r="C119" s="56" t="s">
        <v>95</v>
      </c>
      <c r="D119" s="56" t="s">
        <v>96</v>
      </c>
      <c r="E119" s="56" t="s">
        <v>97</v>
      </c>
      <c r="F119" s="56" t="s">
        <v>40</v>
      </c>
      <c r="G119" s="56" t="s">
        <v>64</v>
      </c>
      <c r="H119" s="56" t="s">
        <v>65</v>
      </c>
      <c r="I119" s="56" t="s">
        <v>66</v>
      </c>
      <c r="J119" s="56" t="s">
        <v>66</v>
      </c>
      <c r="K119" s="56" t="s">
        <v>98</v>
      </c>
      <c r="L119" s="56">
        <v>420</v>
      </c>
      <c r="M119" s="56" t="s">
        <v>98</v>
      </c>
      <c r="N119" s="81">
        <v>403500000</v>
      </c>
      <c r="O119" s="63">
        <v>80111600</v>
      </c>
      <c r="P119" s="64" t="s">
        <v>508</v>
      </c>
      <c r="Q119" s="58" t="s">
        <v>87</v>
      </c>
      <c r="R119" s="58" t="s">
        <v>79</v>
      </c>
      <c r="S119" s="58">
        <v>9</v>
      </c>
      <c r="T119" s="58" t="s">
        <v>70</v>
      </c>
      <c r="U119" s="58" t="s">
        <v>48</v>
      </c>
      <c r="V119" s="58" t="s">
        <v>49</v>
      </c>
      <c r="W119" s="241">
        <v>90000000</v>
      </c>
      <c r="X119" s="241">
        <v>90000000</v>
      </c>
      <c r="Y119" s="58" t="s">
        <v>50</v>
      </c>
      <c r="Z119" s="58" t="s">
        <v>50</v>
      </c>
      <c r="AA119" s="59" t="s">
        <v>98</v>
      </c>
      <c r="AB119" s="60" t="s">
        <v>52</v>
      </c>
      <c r="AC119" s="59" t="s">
        <v>506</v>
      </c>
      <c r="AD119" s="59">
        <v>6017431444</v>
      </c>
      <c r="AE119" s="59" t="s">
        <v>507</v>
      </c>
      <c r="AF119" s="54" t="s">
        <v>101</v>
      </c>
      <c r="AG119" s="55" t="s">
        <v>50</v>
      </c>
      <c r="AH119" s="55" t="s">
        <v>50</v>
      </c>
      <c r="AI119" s="270" t="s">
        <v>55</v>
      </c>
      <c r="AJ119" s="282" t="s">
        <v>50</v>
      </c>
      <c r="AK119" s="6" t="s">
        <v>50</v>
      </c>
      <c r="AL119" s="6" t="s">
        <v>50</v>
      </c>
      <c r="AM119" s="48"/>
      <c r="AN119" s="71"/>
      <c r="AO119" s="71">
        <f t="shared" si="2"/>
        <v>90000000</v>
      </c>
      <c r="AP119" s="118" t="s">
        <v>50</v>
      </c>
      <c r="AQ119" s="283"/>
    </row>
    <row r="120" spans="1:43" ht="71.25" x14ac:dyDescent="0.25">
      <c r="A120" s="56">
        <v>117</v>
      </c>
      <c r="B120" s="59" t="s">
        <v>36</v>
      </c>
      <c r="C120" s="65" t="s">
        <v>56</v>
      </c>
      <c r="D120" s="82" t="s">
        <v>509</v>
      </c>
      <c r="E120" s="83" t="s">
        <v>510</v>
      </c>
      <c r="F120" s="56" t="s">
        <v>40</v>
      </c>
      <c r="G120" s="59" t="s">
        <v>182</v>
      </c>
      <c r="H120" s="59" t="s">
        <v>511</v>
      </c>
      <c r="I120" s="59" t="s">
        <v>182</v>
      </c>
      <c r="J120" s="59" t="s">
        <v>182</v>
      </c>
      <c r="K120" s="56" t="s">
        <v>302</v>
      </c>
      <c r="L120" s="56">
        <v>120</v>
      </c>
      <c r="M120" s="59" t="s">
        <v>302</v>
      </c>
      <c r="N120" s="66">
        <v>80000000</v>
      </c>
      <c r="O120" s="59">
        <v>80100000</v>
      </c>
      <c r="P120" s="67" t="s">
        <v>512</v>
      </c>
      <c r="Q120" s="64" t="s">
        <v>87</v>
      </c>
      <c r="R120" s="59" t="s">
        <v>69</v>
      </c>
      <c r="S120" s="59">
        <v>1</v>
      </c>
      <c r="T120" s="59" t="s">
        <v>513</v>
      </c>
      <c r="U120" s="59" t="s">
        <v>111</v>
      </c>
      <c r="V120" s="59" t="s">
        <v>112</v>
      </c>
      <c r="W120" s="234">
        <v>80000000</v>
      </c>
      <c r="X120" s="234">
        <v>80000000</v>
      </c>
      <c r="Y120" s="59" t="s">
        <v>50</v>
      </c>
      <c r="Z120" s="59" t="s">
        <v>316</v>
      </c>
      <c r="AA120" s="59" t="s">
        <v>302</v>
      </c>
      <c r="AB120" s="59" t="s">
        <v>52</v>
      </c>
      <c r="AC120" s="59" t="s">
        <v>305</v>
      </c>
      <c r="AD120" s="59">
        <v>6017431444</v>
      </c>
      <c r="AE120" s="59" t="s">
        <v>306</v>
      </c>
      <c r="AF120" s="54" t="s">
        <v>50</v>
      </c>
      <c r="AG120" s="54" t="s">
        <v>50</v>
      </c>
      <c r="AH120" s="54" t="s">
        <v>50</v>
      </c>
      <c r="AI120" s="272" t="s">
        <v>55</v>
      </c>
      <c r="AJ120" s="282" t="s">
        <v>50</v>
      </c>
      <c r="AK120" s="6" t="s">
        <v>55</v>
      </c>
      <c r="AL120" s="6" t="s">
        <v>50</v>
      </c>
      <c r="AM120" s="48"/>
      <c r="AN120" s="71"/>
      <c r="AO120" s="71">
        <f t="shared" si="2"/>
        <v>80000000</v>
      </c>
      <c r="AP120" s="118" t="s">
        <v>50</v>
      </c>
      <c r="AQ120" s="283"/>
    </row>
    <row r="121" spans="1:43" ht="71.25" x14ac:dyDescent="0.25">
      <c r="A121" s="56">
        <v>118</v>
      </c>
      <c r="B121" s="59" t="s">
        <v>94</v>
      </c>
      <c r="C121" s="65" t="s">
        <v>95</v>
      </c>
      <c r="D121" s="82" t="s">
        <v>544</v>
      </c>
      <c r="E121" s="83" t="s">
        <v>97</v>
      </c>
      <c r="F121" s="56" t="s">
        <v>40</v>
      </c>
      <c r="G121" s="59" t="s">
        <v>361</v>
      </c>
      <c r="H121" s="59" t="s">
        <v>65</v>
      </c>
      <c r="I121" s="59" t="s">
        <v>545</v>
      </c>
      <c r="J121" s="59" t="s">
        <v>66</v>
      </c>
      <c r="K121" s="56" t="s">
        <v>493</v>
      </c>
      <c r="L121" s="56">
        <v>103</v>
      </c>
      <c r="M121" s="56" t="s">
        <v>493</v>
      </c>
      <c r="N121" s="66">
        <v>200000000</v>
      </c>
      <c r="O121" s="59">
        <v>80111600</v>
      </c>
      <c r="P121" s="67" t="s">
        <v>551</v>
      </c>
      <c r="Q121" s="64" t="s">
        <v>552</v>
      </c>
      <c r="R121" s="59" t="s">
        <v>553</v>
      </c>
      <c r="S121" s="59">
        <v>8</v>
      </c>
      <c r="T121" s="59" t="s">
        <v>554</v>
      </c>
      <c r="U121" s="59" t="s">
        <v>48</v>
      </c>
      <c r="V121" s="59">
        <v>0</v>
      </c>
      <c r="W121" s="234">
        <v>92000000</v>
      </c>
      <c r="X121" s="234">
        <v>92000000</v>
      </c>
      <c r="Y121" s="59">
        <v>0</v>
      </c>
      <c r="Z121" s="59">
        <v>0</v>
      </c>
      <c r="AA121" s="56" t="s">
        <v>493</v>
      </c>
      <c r="AB121" s="59" t="s">
        <v>52</v>
      </c>
      <c r="AC121" s="59" t="s">
        <v>494</v>
      </c>
      <c r="AD121" s="59">
        <v>6017431444</v>
      </c>
      <c r="AE121" s="59" t="s">
        <v>496</v>
      </c>
      <c r="AF121" s="54" t="s">
        <v>50</v>
      </c>
      <c r="AG121" s="54" t="s">
        <v>50</v>
      </c>
      <c r="AH121" s="54" t="s">
        <v>50</v>
      </c>
      <c r="AI121" s="272">
        <v>0</v>
      </c>
      <c r="AJ121" s="278" t="s">
        <v>50</v>
      </c>
      <c r="AK121" s="6" t="s">
        <v>55</v>
      </c>
      <c r="AL121" s="6" t="s">
        <v>50</v>
      </c>
      <c r="AM121" s="48" t="s">
        <v>648</v>
      </c>
      <c r="AN121" s="71"/>
      <c r="AO121" s="71">
        <f t="shared" si="2"/>
        <v>92000000</v>
      </c>
      <c r="AP121" s="118" t="s">
        <v>50</v>
      </c>
      <c r="AQ121" s="283"/>
    </row>
    <row r="122" spans="1:43" ht="71.25" x14ac:dyDescent="0.25">
      <c r="A122" s="56">
        <v>119</v>
      </c>
      <c r="B122" s="59" t="s">
        <v>94</v>
      </c>
      <c r="C122" s="65" t="s">
        <v>95</v>
      </c>
      <c r="D122" s="82" t="s">
        <v>544</v>
      </c>
      <c r="E122" s="83" t="s">
        <v>97</v>
      </c>
      <c r="F122" s="56" t="s">
        <v>40</v>
      </c>
      <c r="G122" s="59" t="s">
        <v>361</v>
      </c>
      <c r="H122" s="59" t="s">
        <v>65</v>
      </c>
      <c r="I122" s="59" t="s">
        <v>545</v>
      </c>
      <c r="J122" s="59" t="s">
        <v>66</v>
      </c>
      <c r="K122" s="56" t="s">
        <v>493</v>
      </c>
      <c r="L122" s="56">
        <v>103</v>
      </c>
      <c r="M122" s="56" t="s">
        <v>493</v>
      </c>
      <c r="N122" s="66">
        <v>200000000</v>
      </c>
      <c r="O122" s="59">
        <v>80111600</v>
      </c>
      <c r="P122" s="67" t="s">
        <v>555</v>
      </c>
      <c r="Q122" s="64" t="s">
        <v>552</v>
      </c>
      <c r="R122" s="59" t="s">
        <v>553</v>
      </c>
      <c r="S122" s="59">
        <v>8</v>
      </c>
      <c r="T122" s="59" t="s">
        <v>554</v>
      </c>
      <c r="U122" s="59" t="s">
        <v>48</v>
      </c>
      <c r="V122" s="59">
        <v>0</v>
      </c>
      <c r="W122" s="234">
        <v>92000000</v>
      </c>
      <c r="X122" s="234">
        <v>92000000</v>
      </c>
      <c r="Y122" s="59">
        <v>0</v>
      </c>
      <c r="Z122" s="59">
        <v>0</v>
      </c>
      <c r="AA122" s="56" t="s">
        <v>493</v>
      </c>
      <c r="AB122" s="59" t="s">
        <v>52</v>
      </c>
      <c r="AC122" s="59" t="s">
        <v>494</v>
      </c>
      <c r="AD122" s="59">
        <v>6017431444</v>
      </c>
      <c r="AE122" s="59" t="s">
        <v>496</v>
      </c>
      <c r="AF122" s="54" t="s">
        <v>50</v>
      </c>
      <c r="AG122" s="54" t="s">
        <v>50</v>
      </c>
      <c r="AH122" s="54" t="s">
        <v>50</v>
      </c>
      <c r="AI122" s="272" t="s">
        <v>55</v>
      </c>
      <c r="AJ122" s="278" t="s">
        <v>50</v>
      </c>
      <c r="AK122" s="6" t="s">
        <v>55</v>
      </c>
      <c r="AL122" s="6" t="s">
        <v>50</v>
      </c>
      <c r="AM122" s="48" t="s">
        <v>600</v>
      </c>
      <c r="AN122" s="71"/>
      <c r="AO122" s="71">
        <f t="shared" si="2"/>
        <v>92000000</v>
      </c>
      <c r="AP122" s="118" t="s">
        <v>600</v>
      </c>
      <c r="AQ122" s="283"/>
    </row>
    <row r="123" spans="1:43" ht="85.5" x14ac:dyDescent="0.25">
      <c r="A123" s="56">
        <v>120</v>
      </c>
      <c r="B123" s="59" t="s">
        <v>36</v>
      </c>
      <c r="C123" s="65" t="s">
        <v>37</v>
      </c>
      <c r="D123" s="82" t="s">
        <v>546</v>
      </c>
      <c r="E123" s="83" t="s">
        <v>547</v>
      </c>
      <c r="F123" s="56" t="s">
        <v>40</v>
      </c>
      <c r="G123" s="59" t="s">
        <v>361</v>
      </c>
      <c r="H123" s="59" t="s">
        <v>42</v>
      </c>
      <c r="I123" s="59" t="s">
        <v>43</v>
      </c>
      <c r="J123" s="59" t="s">
        <v>43</v>
      </c>
      <c r="K123" s="56" t="s">
        <v>548</v>
      </c>
      <c r="L123" s="56">
        <v>300</v>
      </c>
      <c r="M123" s="59" t="s">
        <v>548</v>
      </c>
      <c r="N123" s="66">
        <v>178000000</v>
      </c>
      <c r="O123" s="59">
        <v>80111600</v>
      </c>
      <c r="P123" s="67" t="s">
        <v>556</v>
      </c>
      <c r="Q123" s="64" t="s">
        <v>87</v>
      </c>
      <c r="R123" s="59" t="s">
        <v>87</v>
      </c>
      <c r="S123" s="59">
        <v>9</v>
      </c>
      <c r="T123" s="59" t="s">
        <v>70</v>
      </c>
      <c r="U123" s="59" t="s">
        <v>48</v>
      </c>
      <c r="V123" s="59" t="s">
        <v>71</v>
      </c>
      <c r="W123" s="234">
        <v>133000000</v>
      </c>
      <c r="X123" s="234">
        <v>133000000</v>
      </c>
      <c r="Y123" s="59" t="s">
        <v>50</v>
      </c>
      <c r="Z123" s="59" t="s">
        <v>50</v>
      </c>
      <c r="AA123" s="59" t="s">
        <v>548</v>
      </c>
      <c r="AB123" s="59" t="s">
        <v>52</v>
      </c>
      <c r="AC123" s="59" t="s">
        <v>557</v>
      </c>
      <c r="AD123" s="59">
        <v>6017431444</v>
      </c>
      <c r="AE123" s="59" t="s">
        <v>558</v>
      </c>
      <c r="AF123" s="54" t="s">
        <v>50</v>
      </c>
      <c r="AG123" s="54" t="s">
        <v>50</v>
      </c>
      <c r="AH123" s="54" t="s">
        <v>50</v>
      </c>
      <c r="AI123" s="272" t="s">
        <v>55</v>
      </c>
      <c r="AJ123" s="278" t="s">
        <v>50</v>
      </c>
      <c r="AK123" s="6" t="s">
        <v>55</v>
      </c>
      <c r="AL123" s="6" t="s">
        <v>55</v>
      </c>
      <c r="AM123" s="48" t="s">
        <v>610</v>
      </c>
      <c r="AN123" s="71">
        <v>84000000</v>
      </c>
      <c r="AO123" s="71">
        <f t="shared" si="2"/>
        <v>49000000</v>
      </c>
      <c r="AP123" s="118" t="s">
        <v>610</v>
      </c>
      <c r="AQ123" s="283">
        <f>VLOOKUP(AM123,[1]Hoja2!$B:$W,18,0)</f>
        <v>45952</v>
      </c>
    </row>
    <row r="124" spans="1:43" ht="85.5" x14ac:dyDescent="0.25">
      <c r="A124" s="56">
        <v>121</v>
      </c>
      <c r="B124" s="59" t="s">
        <v>36</v>
      </c>
      <c r="C124" s="65" t="s">
        <v>37</v>
      </c>
      <c r="D124" s="82" t="s">
        <v>549</v>
      </c>
      <c r="E124" s="83" t="s">
        <v>550</v>
      </c>
      <c r="F124" s="56" t="s">
        <v>40</v>
      </c>
      <c r="G124" s="59" t="s">
        <v>361</v>
      </c>
      <c r="H124" s="59" t="s">
        <v>65</v>
      </c>
      <c r="I124" s="59" t="s">
        <v>66</v>
      </c>
      <c r="J124" s="59" t="s">
        <v>66</v>
      </c>
      <c r="K124" s="56" t="s">
        <v>564</v>
      </c>
      <c r="L124" s="56">
        <v>110</v>
      </c>
      <c r="M124" s="59" t="s">
        <v>564</v>
      </c>
      <c r="N124" s="66">
        <v>150000000</v>
      </c>
      <c r="O124" s="59">
        <v>80111600</v>
      </c>
      <c r="P124" s="324" t="s">
        <v>689</v>
      </c>
      <c r="Q124" s="325" t="s">
        <v>121</v>
      </c>
      <c r="R124" s="326" t="s">
        <v>121</v>
      </c>
      <c r="S124" s="59">
        <v>120</v>
      </c>
      <c r="T124" s="59" t="s">
        <v>559</v>
      </c>
      <c r="U124" s="59" t="s">
        <v>48</v>
      </c>
      <c r="V124" s="59" t="s">
        <v>71</v>
      </c>
      <c r="W124" s="234">
        <v>34000000</v>
      </c>
      <c r="X124" s="234">
        <v>34000000</v>
      </c>
      <c r="Y124" s="59" t="s">
        <v>50</v>
      </c>
      <c r="Z124" s="59" t="s">
        <v>50</v>
      </c>
      <c r="AA124" s="59" t="s">
        <v>564</v>
      </c>
      <c r="AB124" s="59" t="s">
        <v>560</v>
      </c>
      <c r="AC124" s="59" t="s">
        <v>561</v>
      </c>
      <c r="AD124" s="59">
        <v>3195124082</v>
      </c>
      <c r="AE124" s="59" t="s">
        <v>272</v>
      </c>
      <c r="AF124" s="54" t="s">
        <v>50</v>
      </c>
      <c r="AG124" s="54" t="s">
        <v>50</v>
      </c>
      <c r="AH124" s="54" t="s">
        <v>50</v>
      </c>
      <c r="AI124" s="272" t="s">
        <v>55</v>
      </c>
      <c r="AJ124" s="278" t="s">
        <v>50</v>
      </c>
      <c r="AK124" s="6" t="s">
        <v>50</v>
      </c>
      <c r="AL124" s="6" t="s">
        <v>50</v>
      </c>
      <c r="AM124" s="48"/>
      <c r="AN124" s="71"/>
      <c r="AO124" s="71">
        <f t="shared" si="2"/>
        <v>34000000</v>
      </c>
      <c r="AP124" s="118" t="s">
        <v>50</v>
      </c>
      <c r="AQ124" s="283"/>
    </row>
    <row r="125" spans="1:43" ht="71.25" x14ac:dyDescent="0.25">
      <c r="A125" s="56">
        <v>122</v>
      </c>
      <c r="B125" s="59" t="s">
        <v>36</v>
      </c>
      <c r="C125" s="65" t="s">
        <v>569</v>
      </c>
      <c r="D125" s="82" t="s">
        <v>570</v>
      </c>
      <c r="E125" s="83" t="s">
        <v>571</v>
      </c>
      <c r="F125" s="56" t="s">
        <v>40</v>
      </c>
      <c r="G125" s="59" t="s">
        <v>572</v>
      </c>
      <c r="H125" s="59" t="s">
        <v>573</v>
      </c>
      <c r="I125" s="59" t="s">
        <v>574</v>
      </c>
      <c r="J125" s="59" t="s">
        <v>574</v>
      </c>
      <c r="K125" s="56" t="s">
        <v>447</v>
      </c>
      <c r="L125" s="56">
        <v>2000</v>
      </c>
      <c r="M125" s="59" t="s">
        <v>447</v>
      </c>
      <c r="N125" s="66">
        <v>25000000</v>
      </c>
      <c r="O125" s="59">
        <v>72102100</v>
      </c>
      <c r="P125" s="67" t="s">
        <v>575</v>
      </c>
      <c r="Q125" s="64" t="s">
        <v>79</v>
      </c>
      <c r="R125" s="59" t="s">
        <v>79</v>
      </c>
      <c r="S125" s="59">
        <v>9</v>
      </c>
      <c r="T125" s="59" t="s">
        <v>70</v>
      </c>
      <c r="U125" s="59" t="s">
        <v>576</v>
      </c>
      <c r="V125" s="59" t="s">
        <v>112</v>
      </c>
      <c r="W125" s="234">
        <v>9332354</v>
      </c>
      <c r="X125" s="234">
        <v>9332354</v>
      </c>
      <c r="Y125" s="59" t="s">
        <v>50</v>
      </c>
      <c r="Z125" s="59" t="s">
        <v>50</v>
      </c>
      <c r="AA125" s="59" t="s">
        <v>447</v>
      </c>
      <c r="AB125" s="59" t="s">
        <v>52</v>
      </c>
      <c r="AC125" s="59" t="s">
        <v>577</v>
      </c>
      <c r="AD125" s="59">
        <v>6017431444</v>
      </c>
      <c r="AE125" s="59" t="s">
        <v>450</v>
      </c>
      <c r="AF125" s="54" t="s">
        <v>50</v>
      </c>
      <c r="AG125" s="54" t="s">
        <v>50</v>
      </c>
      <c r="AH125" s="54" t="s">
        <v>50</v>
      </c>
      <c r="AI125" s="272" t="s">
        <v>55</v>
      </c>
      <c r="AJ125" s="278" t="s">
        <v>50</v>
      </c>
      <c r="AK125" s="6" t="s">
        <v>50</v>
      </c>
      <c r="AL125" s="6" t="s">
        <v>50</v>
      </c>
      <c r="AM125" s="48"/>
      <c r="AN125" s="71"/>
      <c r="AO125" s="71">
        <f t="shared" si="2"/>
        <v>9332354</v>
      </c>
      <c r="AP125" s="118" t="s">
        <v>50</v>
      </c>
      <c r="AQ125" s="283"/>
    </row>
    <row r="126" spans="1:43" ht="85.5" x14ac:dyDescent="0.25">
      <c r="A126" s="56">
        <v>123</v>
      </c>
      <c r="B126" s="59" t="s">
        <v>36</v>
      </c>
      <c r="C126" s="65" t="s">
        <v>37</v>
      </c>
      <c r="D126" s="82" t="s">
        <v>180</v>
      </c>
      <c r="E126" s="83" t="s">
        <v>181</v>
      </c>
      <c r="F126" s="56" t="s">
        <v>40</v>
      </c>
      <c r="G126" s="59" t="s">
        <v>64</v>
      </c>
      <c r="H126" s="59" t="s">
        <v>65</v>
      </c>
      <c r="I126" s="59" t="s">
        <v>182</v>
      </c>
      <c r="J126" s="59" t="s">
        <v>182</v>
      </c>
      <c r="K126" s="56" t="s">
        <v>176</v>
      </c>
      <c r="L126" s="56">
        <v>320</v>
      </c>
      <c r="M126" s="59" t="s">
        <v>176</v>
      </c>
      <c r="N126" s="66">
        <v>248000000</v>
      </c>
      <c r="O126" s="59">
        <v>80111600</v>
      </c>
      <c r="P126" s="324" t="s">
        <v>665</v>
      </c>
      <c r="Q126" s="325" t="s">
        <v>121</v>
      </c>
      <c r="R126" s="326" t="s">
        <v>121</v>
      </c>
      <c r="S126" s="59">
        <v>6</v>
      </c>
      <c r="T126" s="59" t="s">
        <v>70</v>
      </c>
      <c r="U126" s="59" t="s">
        <v>48</v>
      </c>
      <c r="V126" s="59" t="s">
        <v>112</v>
      </c>
      <c r="W126" s="327">
        <v>36230667</v>
      </c>
      <c r="X126" s="327">
        <v>36230667</v>
      </c>
      <c r="Y126" s="59" t="s">
        <v>50</v>
      </c>
      <c r="Z126" s="59" t="s">
        <v>50</v>
      </c>
      <c r="AA126" s="59" t="s">
        <v>176</v>
      </c>
      <c r="AB126" s="59" t="s">
        <v>52</v>
      </c>
      <c r="AC126" s="59" t="s">
        <v>566</v>
      </c>
      <c r="AD126" s="59">
        <v>6017431444</v>
      </c>
      <c r="AE126" s="59" t="s">
        <v>567</v>
      </c>
      <c r="AF126" s="54" t="s">
        <v>50</v>
      </c>
      <c r="AG126" s="54" t="s">
        <v>50</v>
      </c>
      <c r="AH126" s="54" t="s">
        <v>50</v>
      </c>
      <c r="AI126" s="272" t="s">
        <v>55</v>
      </c>
      <c r="AJ126" s="278" t="s">
        <v>50</v>
      </c>
      <c r="AK126" s="6" t="s">
        <v>55</v>
      </c>
      <c r="AL126" s="6" t="s">
        <v>50</v>
      </c>
      <c r="AM126" s="48"/>
      <c r="AN126" s="71"/>
      <c r="AO126" s="71">
        <f t="shared" si="2"/>
        <v>36230667</v>
      </c>
      <c r="AP126" s="118"/>
      <c r="AQ126" s="283"/>
    </row>
    <row r="127" spans="1:43" ht="71.25" x14ac:dyDescent="0.25">
      <c r="A127" s="56">
        <v>124</v>
      </c>
      <c r="B127" s="59" t="s">
        <v>94</v>
      </c>
      <c r="C127" s="65" t="s">
        <v>433</v>
      </c>
      <c r="D127" s="82" t="s">
        <v>544</v>
      </c>
      <c r="E127" s="83" t="s">
        <v>97</v>
      </c>
      <c r="F127" s="56" t="s">
        <v>40</v>
      </c>
      <c r="G127" s="59" t="s">
        <v>64</v>
      </c>
      <c r="H127" s="59" t="s">
        <v>579</v>
      </c>
      <c r="I127" s="59" t="s">
        <v>545</v>
      </c>
      <c r="J127" s="59" t="s">
        <v>43</v>
      </c>
      <c r="K127" s="56" t="s">
        <v>493</v>
      </c>
      <c r="L127" s="56">
        <v>103</v>
      </c>
      <c r="M127" s="56" t="s">
        <v>493</v>
      </c>
      <c r="N127" s="66">
        <v>300000000</v>
      </c>
      <c r="O127" s="59">
        <v>80111600</v>
      </c>
      <c r="P127" s="67" t="s">
        <v>580</v>
      </c>
      <c r="Q127" s="64" t="s">
        <v>121</v>
      </c>
      <c r="R127" s="59" t="s">
        <v>121</v>
      </c>
      <c r="S127" s="59">
        <v>7</v>
      </c>
      <c r="T127" s="59" t="s">
        <v>70</v>
      </c>
      <c r="U127" s="59" t="s">
        <v>48</v>
      </c>
      <c r="V127" s="59" t="s">
        <v>71</v>
      </c>
      <c r="W127" s="234">
        <v>69790000</v>
      </c>
      <c r="X127" s="234">
        <v>69790000</v>
      </c>
      <c r="Y127" s="59" t="s">
        <v>50</v>
      </c>
      <c r="Z127" s="59" t="s">
        <v>50</v>
      </c>
      <c r="AA127" s="56" t="s">
        <v>493</v>
      </c>
      <c r="AB127" s="59" t="s">
        <v>52</v>
      </c>
      <c r="AC127" s="59" t="s">
        <v>494</v>
      </c>
      <c r="AD127" s="59">
        <v>6017431444</v>
      </c>
      <c r="AE127" s="59" t="s">
        <v>496</v>
      </c>
      <c r="AF127" s="54" t="s">
        <v>50</v>
      </c>
      <c r="AG127" s="54" t="s">
        <v>50</v>
      </c>
      <c r="AH127" s="54" t="s">
        <v>50</v>
      </c>
      <c r="AI127" s="272" t="s">
        <v>55</v>
      </c>
      <c r="AJ127" s="278" t="s">
        <v>50</v>
      </c>
      <c r="AK127" s="6" t="s">
        <v>50</v>
      </c>
      <c r="AL127" s="6" t="s">
        <v>50</v>
      </c>
      <c r="AM127" s="48"/>
      <c r="AN127" s="71"/>
      <c r="AO127" s="71">
        <f t="shared" si="2"/>
        <v>69790000</v>
      </c>
      <c r="AP127" s="118" t="s">
        <v>50</v>
      </c>
      <c r="AQ127" s="283"/>
    </row>
    <row r="128" spans="1:43" ht="71.25" x14ac:dyDescent="0.25">
      <c r="A128" s="56">
        <v>125</v>
      </c>
      <c r="B128" s="59" t="s">
        <v>94</v>
      </c>
      <c r="C128" s="65" t="s">
        <v>433</v>
      </c>
      <c r="D128" s="82" t="s">
        <v>544</v>
      </c>
      <c r="E128" s="83" t="s">
        <v>97</v>
      </c>
      <c r="F128" s="56" t="s">
        <v>40</v>
      </c>
      <c r="G128" s="59" t="s">
        <v>64</v>
      </c>
      <c r="H128" s="59" t="s">
        <v>581</v>
      </c>
      <c r="I128" s="59" t="s">
        <v>582</v>
      </c>
      <c r="J128" s="59" t="s">
        <v>583</v>
      </c>
      <c r="K128" s="56" t="s">
        <v>493</v>
      </c>
      <c r="L128" s="56">
        <v>103</v>
      </c>
      <c r="M128" s="56" t="s">
        <v>493</v>
      </c>
      <c r="N128" s="66">
        <v>300000000</v>
      </c>
      <c r="O128" s="59">
        <v>80111600</v>
      </c>
      <c r="P128" s="67" t="s">
        <v>584</v>
      </c>
      <c r="Q128" s="64" t="s">
        <v>121</v>
      </c>
      <c r="R128" s="59" t="s">
        <v>121</v>
      </c>
      <c r="S128" s="59">
        <v>7</v>
      </c>
      <c r="T128" s="59" t="s">
        <v>70</v>
      </c>
      <c r="U128" s="59" t="s">
        <v>48</v>
      </c>
      <c r="V128" s="59" t="s">
        <v>71</v>
      </c>
      <c r="W128" s="234">
        <v>69790000</v>
      </c>
      <c r="X128" s="234">
        <v>69790000</v>
      </c>
      <c r="Y128" s="59" t="s">
        <v>50</v>
      </c>
      <c r="Z128" s="59" t="s">
        <v>50</v>
      </c>
      <c r="AA128" s="56" t="s">
        <v>493</v>
      </c>
      <c r="AB128" s="59" t="s">
        <v>52</v>
      </c>
      <c r="AC128" s="59" t="s">
        <v>494</v>
      </c>
      <c r="AD128" s="59">
        <v>6017431444</v>
      </c>
      <c r="AE128" s="59" t="s">
        <v>496</v>
      </c>
      <c r="AF128" s="54" t="s">
        <v>50</v>
      </c>
      <c r="AG128" s="54" t="s">
        <v>50</v>
      </c>
      <c r="AH128" s="54" t="s">
        <v>50</v>
      </c>
      <c r="AI128" s="272" t="s">
        <v>55</v>
      </c>
      <c r="AJ128" s="278" t="s">
        <v>50</v>
      </c>
      <c r="AK128" s="6" t="s">
        <v>50</v>
      </c>
      <c r="AL128" s="6" t="s">
        <v>50</v>
      </c>
      <c r="AM128" s="48"/>
      <c r="AN128" s="71"/>
      <c r="AO128" s="71">
        <f t="shared" si="2"/>
        <v>69790000</v>
      </c>
      <c r="AP128" s="118" t="s">
        <v>50</v>
      </c>
      <c r="AQ128" s="283"/>
    </row>
    <row r="129" spans="1:43" ht="128.25" x14ac:dyDescent="0.25">
      <c r="A129" s="56">
        <v>126</v>
      </c>
      <c r="B129" s="59" t="s">
        <v>36</v>
      </c>
      <c r="C129" s="65" t="s">
        <v>37</v>
      </c>
      <c r="D129" s="82" t="s">
        <v>347</v>
      </c>
      <c r="E129" s="83" t="s">
        <v>348</v>
      </c>
      <c r="F129" s="56" t="s">
        <v>40</v>
      </c>
      <c r="G129" s="59" t="s">
        <v>64</v>
      </c>
      <c r="H129" s="59" t="s">
        <v>65</v>
      </c>
      <c r="I129" s="59" t="s">
        <v>66</v>
      </c>
      <c r="J129" s="59" t="s">
        <v>66</v>
      </c>
      <c r="K129" s="56" t="s">
        <v>349</v>
      </c>
      <c r="L129" s="56">
        <v>400</v>
      </c>
      <c r="M129" s="59" t="s">
        <v>349</v>
      </c>
      <c r="N129" s="66">
        <v>388000000</v>
      </c>
      <c r="O129" s="59">
        <v>80111600</v>
      </c>
      <c r="P129" s="67" t="s">
        <v>585</v>
      </c>
      <c r="Q129" s="64" t="s">
        <v>87</v>
      </c>
      <c r="R129" s="59" t="s">
        <v>79</v>
      </c>
      <c r="S129" s="59">
        <v>9</v>
      </c>
      <c r="T129" s="59" t="s">
        <v>70</v>
      </c>
      <c r="U129" s="59" t="s">
        <v>48</v>
      </c>
      <c r="V129" s="59" t="s">
        <v>71</v>
      </c>
      <c r="W129" s="234">
        <v>45900000</v>
      </c>
      <c r="X129" s="234">
        <v>45900000</v>
      </c>
      <c r="Y129" s="59" t="s">
        <v>50</v>
      </c>
      <c r="Z129" s="59" t="s">
        <v>50</v>
      </c>
      <c r="AA129" s="59" t="s">
        <v>349</v>
      </c>
      <c r="AB129" s="59" t="s">
        <v>52</v>
      </c>
      <c r="AC129" s="59" t="s">
        <v>350</v>
      </c>
      <c r="AD129" s="59">
        <v>6017431444</v>
      </c>
      <c r="AE129" s="59" t="s">
        <v>351</v>
      </c>
      <c r="AF129" s="54" t="s">
        <v>50</v>
      </c>
      <c r="AG129" s="54" t="s">
        <v>50</v>
      </c>
      <c r="AH129" s="54" t="s">
        <v>50</v>
      </c>
      <c r="AI129" s="272" t="s">
        <v>55</v>
      </c>
      <c r="AJ129" s="278" t="s">
        <v>50</v>
      </c>
      <c r="AK129" s="6" t="s">
        <v>50</v>
      </c>
      <c r="AL129" s="6" t="s">
        <v>50</v>
      </c>
      <c r="AM129" s="48"/>
      <c r="AN129" s="71"/>
      <c r="AO129" s="71">
        <f t="shared" si="2"/>
        <v>45900000</v>
      </c>
      <c r="AP129" s="118" t="s">
        <v>50</v>
      </c>
      <c r="AQ129" s="283"/>
    </row>
    <row r="130" spans="1:43" ht="71.25" x14ac:dyDescent="0.25">
      <c r="A130" s="56">
        <v>127</v>
      </c>
      <c r="B130" s="59" t="s">
        <v>586</v>
      </c>
      <c r="C130" s="65" t="s">
        <v>587</v>
      </c>
      <c r="D130" s="82" t="s">
        <v>588</v>
      </c>
      <c r="E130" s="83" t="s">
        <v>589</v>
      </c>
      <c r="F130" s="56" t="s">
        <v>40</v>
      </c>
      <c r="G130" s="59" t="s">
        <v>64</v>
      </c>
      <c r="H130" s="59" t="s">
        <v>42</v>
      </c>
      <c r="I130" s="59" t="s">
        <v>43</v>
      </c>
      <c r="J130" s="59" t="s">
        <v>43</v>
      </c>
      <c r="K130" s="56" t="s">
        <v>590</v>
      </c>
      <c r="L130" s="56">
        <v>530</v>
      </c>
      <c r="M130" s="59" t="s">
        <v>590</v>
      </c>
      <c r="N130" s="66" t="s">
        <v>591</v>
      </c>
      <c r="O130" s="59">
        <v>80111600</v>
      </c>
      <c r="P130" s="67" t="s">
        <v>592</v>
      </c>
      <c r="Q130" s="64" t="s">
        <v>121</v>
      </c>
      <c r="R130" s="59" t="s">
        <v>121</v>
      </c>
      <c r="S130" s="59">
        <v>8</v>
      </c>
      <c r="T130" s="59" t="s">
        <v>70</v>
      </c>
      <c r="U130" s="59" t="s">
        <v>48</v>
      </c>
      <c r="V130" s="59" t="s">
        <v>49</v>
      </c>
      <c r="W130" s="234">
        <v>73600000</v>
      </c>
      <c r="X130" s="234">
        <v>73600000</v>
      </c>
      <c r="Y130" s="59" t="s">
        <v>50</v>
      </c>
      <c r="Z130" s="59" t="s">
        <v>50</v>
      </c>
      <c r="AA130" s="59" t="s">
        <v>590</v>
      </c>
      <c r="AB130" s="59" t="s">
        <v>52</v>
      </c>
      <c r="AC130" s="59" t="s">
        <v>593</v>
      </c>
      <c r="AD130" s="59">
        <v>7431444</v>
      </c>
      <c r="AE130" s="59" t="s">
        <v>594</v>
      </c>
      <c r="AF130" s="54" t="s">
        <v>50</v>
      </c>
      <c r="AG130" s="54" t="s">
        <v>50</v>
      </c>
      <c r="AH130" s="54" t="s">
        <v>50</v>
      </c>
      <c r="AI130" s="272" t="s">
        <v>55</v>
      </c>
      <c r="AJ130" s="278" t="s">
        <v>50</v>
      </c>
      <c r="AK130" s="6" t="s">
        <v>50</v>
      </c>
      <c r="AL130" s="6" t="s">
        <v>50</v>
      </c>
      <c r="AM130" s="48"/>
      <c r="AN130" s="71"/>
      <c r="AO130" s="71">
        <f t="shared" si="2"/>
        <v>73600000</v>
      </c>
      <c r="AP130" s="118" t="s">
        <v>50</v>
      </c>
      <c r="AQ130" s="283"/>
    </row>
    <row r="131" spans="1:43" ht="71.25" x14ac:dyDescent="0.25">
      <c r="A131" s="56">
        <v>128</v>
      </c>
      <c r="B131" s="59" t="s">
        <v>586</v>
      </c>
      <c r="C131" s="65" t="s">
        <v>587</v>
      </c>
      <c r="D131" s="82" t="s">
        <v>588</v>
      </c>
      <c r="E131" s="83" t="s">
        <v>589</v>
      </c>
      <c r="F131" s="56" t="s">
        <v>40</v>
      </c>
      <c r="G131" s="59" t="s">
        <v>64</v>
      </c>
      <c r="H131" s="59" t="s">
        <v>42</v>
      </c>
      <c r="I131" s="59" t="s">
        <v>43</v>
      </c>
      <c r="J131" s="59" t="s">
        <v>43</v>
      </c>
      <c r="K131" s="56" t="s">
        <v>590</v>
      </c>
      <c r="L131" s="56">
        <v>530</v>
      </c>
      <c r="M131" s="59" t="s">
        <v>590</v>
      </c>
      <c r="N131" s="66" t="s">
        <v>591</v>
      </c>
      <c r="O131" s="59">
        <v>80111600</v>
      </c>
      <c r="P131" s="67" t="s">
        <v>592</v>
      </c>
      <c r="Q131" s="64" t="s">
        <v>121</v>
      </c>
      <c r="R131" s="59" t="s">
        <v>121</v>
      </c>
      <c r="S131" s="59">
        <v>8</v>
      </c>
      <c r="T131" s="59" t="s">
        <v>70</v>
      </c>
      <c r="U131" s="59" t="s">
        <v>48</v>
      </c>
      <c r="V131" s="59" t="s">
        <v>49</v>
      </c>
      <c r="W131" s="234">
        <v>73600000</v>
      </c>
      <c r="X131" s="234">
        <v>73600000</v>
      </c>
      <c r="Y131" s="59" t="s">
        <v>50</v>
      </c>
      <c r="Z131" s="59" t="s">
        <v>50</v>
      </c>
      <c r="AA131" s="59" t="s">
        <v>590</v>
      </c>
      <c r="AB131" s="59" t="s">
        <v>52</v>
      </c>
      <c r="AC131" s="59" t="s">
        <v>593</v>
      </c>
      <c r="AD131" s="59">
        <v>7431444</v>
      </c>
      <c r="AE131" s="59" t="s">
        <v>594</v>
      </c>
      <c r="AF131" s="54" t="s">
        <v>50</v>
      </c>
      <c r="AG131" s="54" t="s">
        <v>50</v>
      </c>
      <c r="AH131" s="54" t="s">
        <v>50</v>
      </c>
      <c r="AI131" s="272" t="s">
        <v>55</v>
      </c>
      <c r="AJ131" s="278" t="s">
        <v>50</v>
      </c>
      <c r="AK131" s="6" t="s">
        <v>50</v>
      </c>
      <c r="AL131" s="6" t="s">
        <v>50</v>
      </c>
      <c r="AM131" s="48"/>
      <c r="AN131" s="71"/>
      <c r="AO131" s="71">
        <f t="shared" si="2"/>
        <v>73600000</v>
      </c>
      <c r="AP131" s="118" t="s">
        <v>50</v>
      </c>
      <c r="AQ131" s="283"/>
    </row>
    <row r="132" spans="1:43" ht="71.25" x14ac:dyDescent="0.25">
      <c r="A132" s="56">
        <v>129</v>
      </c>
      <c r="B132" s="59" t="s">
        <v>586</v>
      </c>
      <c r="C132" s="65" t="s">
        <v>587</v>
      </c>
      <c r="D132" s="82" t="s">
        <v>588</v>
      </c>
      <c r="E132" s="83" t="s">
        <v>589</v>
      </c>
      <c r="F132" s="56" t="s">
        <v>40</v>
      </c>
      <c r="G132" s="59" t="s">
        <v>64</v>
      </c>
      <c r="H132" s="59" t="s">
        <v>42</v>
      </c>
      <c r="I132" s="59" t="s">
        <v>43</v>
      </c>
      <c r="J132" s="59" t="s">
        <v>43</v>
      </c>
      <c r="K132" s="56" t="s">
        <v>590</v>
      </c>
      <c r="L132" s="56">
        <v>530</v>
      </c>
      <c r="M132" s="59" t="s">
        <v>590</v>
      </c>
      <c r="N132" s="66" t="s">
        <v>591</v>
      </c>
      <c r="O132" s="59">
        <v>80111600</v>
      </c>
      <c r="P132" s="67" t="s">
        <v>592</v>
      </c>
      <c r="Q132" s="64" t="s">
        <v>121</v>
      </c>
      <c r="R132" s="59" t="s">
        <v>121</v>
      </c>
      <c r="S132" s="59">
        <v>8</v>
      </c>
      <c r="T132" s="59" t="s">
        <v>70</v>
      </c>
      <c r="U132" s="59" t="s">
        <v>48</v>
      </c>
      <c r="V132" s="59" t="s">
        <v>49</v>
      </c>
      <c r="W132" s="234">
        <v>52800000</v>
      </c>
      <c r="X132" s="234">
        <v>52800000</v>
      </c>
      <c r="Y132" s="59" t="s">
        <v>50</v>
      </c>
      <c r="Z132" s="59" t="s">
        <v>50</v>
      </c>
      <c r="AA132" s="59" t="s">
        <v>590</v>
      </c>
      <c r="AB132" s="59" t="s">
        <v>52</v>
      </c>
      <c r="AC132" s="59" t="s">
        <v>593</v>
      </c>
      <c r="AD132" s="59">
        <v>7431444</v>
      </c>
      <c r="AE132" s="59" t="s">
        <v>594</v>
      </c>
      <c r="AF132" s="54" t="s">
        <v>50</v>
      </c>
      <c r="AG132" s="54" t="s">
        <v>50</v>
      </c>
      <c r="AH132" s="54" t="s">
        <v>50</v>
      </c>
      <c r="AI132" s="272" t="s">
        <v>55</v>
      </c>
      <c r="AJ132" s="278" t="s">
        <v>50</v>
      </c>
      <c r="AK132" s="6" t="s">
        <v>50</v>
      </c>
      <c r="AL132" s="6" t="s">
        <v>50</v>
      </c>
      <c r="AM132" s="48"/>
      <c r="AN132" s="71"/>
      <c r="AO132" s="71">
        <f t="shared" si="2"/>
        <v>52800000</v>
      </c>
      <c r="AP132" s="118" t="s">
        <v>50</v>
      </c>
      <c r="AQ132" s="283"/>
    </row>
    <row r="133" spans="1:43" ht="85.5" x14ac:dyDescent="0.25">
      <c r="A133" s="56">
        <v>130</v>
      </c>
      <c r="B133" s="59" t="s">
        <v>595</v>
      </c>
      <c r="C133" s="65" t="s">
        <v>37</v>
      </c>
      <c r="D133" s="82" t="s">
        <v>371</v>
      </c>
      <c r="E133" s="83" t="s">
        <v>181</v>
      </c>
      <c r="F133" s="56" t="s">
        <v>40</v>
      </c>
      <c r="G133" s="59" t="s">
        <v>64</v>
      </c>
      <c r="H133" s="59" t="s">
        <v>76</v>
      </c>
      <c r="I133" s="59" t="s">
        <v>77</v>
      </c>
      <c r="J133" s="59" t="s">
        <v>77</v>
      </c>
      <c r="K133" s="56" t="s">
        <v>362</v>
      </c>
      <c r="L133" s="56">
        <v>310</v>
      </c>
      <c r="M133" s="59" t="s">
        <v>362</v>
      </c>
      <c r="N133" s="66">
        <v>672000000</v>
      </c>
      <c r="O133" s="59">
        <v>80111607</v>
      </c>
      <c r="P133" s="67" t="s">
        <v>596</v>
      </c>
      <c r="Q133" s="64" t="s">
        <v>121</v>
      </c>
      <c r="R133" s="59" t="s">
        <v>121</v>
      </c>
      <c r="S133" s="59">
        <v>8</v>
      </c>
      <c r="T133" s="59" t="s">
        <v>70</v>
      </c>
      <c r="U133" s="59" t="s">
        <v>48</v>
      </c>
      <c r="V133" s="59" t="s">
        <v>49</v>
      </c>
      <c r="W133" s="234">
        <v>36000000</v>
      </c>
      <c r="X133" s="234">
        <v>36000000</v>
      </c>
      <c r="Y133" s="59" t="s">
        <v>50</v>
      </c>
      <c r="Z133" s="59" t="s">
        <v>50</v>
      </c>
      <c r="AA133" s="59" t="s">
        <v>362</v>
      </c>
      <c r="AB133" s="59" t="s">
        <v>52</v>
      </c>
      <c r="AC133" s="59" t="s">
        <v>364</v>
      </c>
      <c r="AD133" s="59" t="s">
        <v>365</v>
      </c>
      <c r="AE133" s="59" t="s">
        <v>366</v>
      </c>
      <c r="AF133" s="54" t="s">
        <v>430</v>
      </c>
      <c r="AG133" s="54" t="s">
        <v>101</v>
      </c>
      <c r="AH133" s="54" t="s">
        <v>101</v>
      </c>
      <c r="AI133" s="272" t="s">
        <v>597</v>
      </c>
      <c r="AJ133" s="278" t="s">
        <v>50</v>
      </c>
      <c r="AK133" s="6" t="s">
        <v>55</v>
      </c>
      <c r="AL133" s="6" t="s">
        <v>55</v>
      </c>
      <c r="AM133" s="48" t="s">
        <v>618</v>
      </c>
      <c r="AN133" s="71">
        <v>36000000</v>
      </c>
      <c r="AO133" s="71">
        <f t="shared" ref="AO133:AO177" si="3">W133-AN133</f>
        <v>0</v>
      </c>
      <c r="AP133" s="118" t="s">
        <v>55</v>
      </c>
      <c r="AQ133" s="283">
        <v>46022</v>
      </c>
    </row>
    <row r="134" spans="1:43" ht="85.5" x14ac:dyDescent="0.25">
      <c r="A134" s="56">
        <v>131</v>
      </c>
      <c r="B134" s="59" t="s">
        <v>36</v>
      </c>
      <c r="C134" s="65" t="s">
        <v>37</v>
      </c>
      <c r="D134" s="82" t="s">
        <v>180</v>
      </c>
      <c r="E134" s="83" t="s">
        <v>181</v>
      </c>
      <c r="F134" s="56" t="s">
        <v>40</v>
      </c>
      <c r="G134" s="59" t="s">
        <v>64</v>
      </c>
      <c r="H134" s="59" t="s">
        <v>65</v>
      </c>
      <c r="I134" s="59" t="s">
        <v>182</v>
      </c>
      <c r="J134" s="59" t="s">
        <v>182</v>
      </c>
      <c r="K134" s="56" t="s">
        <v>176</v>
      </c>
      <c r="L134" s="56">
        <v>320</v>
      </c>
      <c r="M134" s="59" t="s">
        <v>176</v>
      </c>
      <c r="N134" s="66">
        <v>248000000</v>
      </c>
      <c r="O134" s="59">
        <v>80111600</v>
      </c>
      <c r="P134" s="67" t="s">
        <v>598</v>
      </c>
      <c r="Q134" s="64" t="s">
        <v>121</v>
      </c>
      <c r="R134" s="59" t="s">
        <v>121</v>
      </c>
      <c r="S134" s="59">
        <v>7</v>
      </c>
      <c r="T134" s="59" t="s">
        <v>70</v>
      </c>
      <c r="U134" s="59" t="s">
        <v>48</v>
      </c>
      <c r="V134" s="59" t="s">
        <v>112</v>
      </c>
      <c r="W134" s="234">
        <v>78466667</v>
      </c>
      <c r="X134" s="234">
        <v>78466667</v>
      </c>
      <c r="Y134" s="59" t="s">
        <v>50</v>
      </c>
      <c r="Z134" s="59" t="s">
        <v>50</v>
      </c>
      <c r="AA134" s="59" t="s">
        <v>176</v>
      </c>
      <c r="AB134" s="59" t="s">
        <v>52</v>
      </c>
      <c r="AC134" s="59" t="s">
        <v>566</v>
      </c>
      <c r="AD134" s="59">
        <v>6017431444</v>
      </c>
      <c r="AE134" s="59" t="s">
        <v>567</v>
      </c>
      <c r="AF134" s="54" t="s">
        <v>50</v>
      </c>
      <c r="AG134" s="54" t="s">
        <v>50</v>
      </c>
      <c r="AH134" s="54" t="s">
        <v>50</v>
      </c>
      <c r="AI134" s="272" t="s">
        <v>55</v>
      </c>
      <c r="AJ134" s="278" t="s">
        <v>50</v>
      </c>
      <c r="AK134" s="6" t="s">
        <v>55</v>
      </c>
      <c r="AL134" s="6" t="s">
        <v>55</v>
      </c>
      <c r="AM134" s="48" t="s">
        <v>643</v>
      </c>
      <c r="AN134" s="71">
        <v>77000000</v>
      </c>
      <c r="AO134" s="71">
        <f t="shared" si="3"/>
        <v>1466667</v>
      </c>
      <c r="AP134" s="118" t="s">
        <v>55</v>
      </c>
      <c r="AQ134" s="283"/>
    </row>
    <row r="135" spans="1:43" ht="85.5" x14ac:dyDescent="0.25">
      <c r="A135" s="56">
        <v>132</v>
      </c>
      <c r="B135" s="59" t="s">
        <v>36</v>
      </c>
      <c r="C135" s="65" t="s">
        <v>37</v>
      </c>
      <c r="D135" s="82" t="s">
        <v>180</v>
      </c>
      <c r="E135" s="83" t="s">
        <v>181</v>
      </c>
      <c r="F135" s="56" t="s">
        <v>40</v>
      </c>
      <c r="G135" s="59" t="s">
        <v>64</v>
      </c>
      <c r="H135" s="59" t="s">
        <v>65</v>
      </c>
      <c r="I135" s="59" t="s">
        <v>182</v>
      </c>
      <c r="J135" s="59" t="s">
        <v>182</v>
      </c>
      <c r="K135" s="56" t="s">
        <v>176</v>
      </c>
      <c r="L135" s="56">
        <v>320</v>
      </c>
      <c r="M135" s="59" t="s">
        <v>176</v>
      </c>
      <c r="N135" s="66">
        <v>248000000</v>
      </c>
      <c r="O135" s="59">
        <v>80111600</v>
      </c>
      <c r="P135" s="324" t="s">
        <v>666</v>
      </c>
      <c r="Q135" s="64" t="s">
        <v>121</v>
      </c>
      <c r="R135" s="59" t="s">
        <v>121</v>
      </c>
      <c r="S135" s="59">
        <v>7</v>
      </c>
      <c r="T135" s="59" t="s">
        <v>70</v>
      </c>
      <c r="U135" s="59" t="s">
        <v>48</v>
      </c>
      <c r="V135" s="59" t="s">
        <v>112</v>
      </c>
      <c r="W135" s="327">
        <v>77000000</v>
      </c>
      <c r="X135" s="327">
        <v>77000000</v>
      </c>
      <c r="Y135" s="59" t="s">
        <v>50</v>
      </c>
      <c r="Z135" s="59" t="s">
        <v>50</v>
      </c>
      <c r="AA135" s="59" t="s">
        <v>176</v>
      </c>
      <c r="AB135" s="59" t="s">
        <v>52</v>
      </c>
      <c r="AC135" s="59" t="s">
        <v>566</v>
      </c>
      <c r="AD135" s="59">
        <v>6017431444</v>
      </c>
      <c r="AE135" s="59" t="s">
        <v>567</v>
      </c>
      <c r="AF135" s="54" t="s">
        <v>50</v>
      </c>
      <c r="AG135" s="54" t="s">
        <v>50</v>
      </c>
      <c r="AH135" s="54" t="s">
        <v>50</v>
      </c>
      <c r="AI135" s="272" t="s">
        <v>55</v>
      </c>
      <c r="AJ135" s="278" t="s">
        <v>50</v>
      </c>
      <c r="AK135" s="6" t="s">
        <v>50</v>
      </c>
      <c r="AL135" s="6" t="s">
        <v>50</v>
      </c>
      <c r="AM135" s="48"/>
      <c r="AN135" s="71"/>
      <c r="AO135" s="71">
        <f t="shared" si="3"/>
        <v>77000000</v>
      </c>
      <c r="AP135" s="118" t="s">
        <v>50</v>
      </c>
      <c r="AQ135" s="283"/>
    </row>
    <row r="136" spans="1:43" ht="85.5" x14ac:dyDescent="0.25">
      <c r="A136" s="56">
        <v>133</v>
      </c>
      <c r="B136" s="59" t="s">
        <v>36</v>
      </c>
      <c r="C136" s="65" t="s">
        <v>37</v>
      </c>
      <c r="D136" s="82" t="s">
        <v>38</v>
      </c>
      <c r="E136" s="83" t="s">
        <v>39</v>
      </c>
      <c r="F136" s="56" t="s">
        <v>173</v>
      </c>
      <c r="G136" s="59" t="s">
        <v>41</v>
      </c>
      <c r="H136" s="59" t="s">
        <v>42</v>
      </c>
      <c r="I136" s="59" t="s">
        <v>43</v>
      </c>
      <c r="J136" s="59" t="s">
        <v>43</v>
      </c>
      <c r="K136" s="56" t="s">
        <v>44</v>
      </c>
      <c r="L136" s="56">
        <v>100</v>
      </c>
      <c r="M136" s="59" t="s">
        <v>44</v>
      </c>
      <c r="N136" s="66">
        <v>1000000000</v>
      </c>
      <c r="O136" s="59">
        <v>80111600</v>
      </c>
      <c r="P136" s="67" t="s">
        <v>644</v>
      </c>
      <c r="Q136" s="64" t="s">
        <v>121</v>
      </c>
      <c r="R136" s="59" t="s">
        <v>121</v>
      </c>
      <c r="S136" s="59">
        <v>6</v>
      </c>
      <c r="T136" s="59" t="s">
        <v>70</v>
      </c>
      <c r="U136" s="59" t="s">
        <v>48</v>
      </c>
      <c r="V136" s="59" t="s">
        <v>49</v>
      </c>
      <c r="W136" s="234">
        <v>54600000</v>
      </c>
      <c r="X136" s="234">
        <v>54600000</v>
      </c>
      <c r="Y136" s="59" t="s">
        <v>50</v>
      </c>
      <c r="Z136" s="59" t="s">
        <v>50</v>
      </c>
      <c r="AA136" s="59" t="s">
        <v>51</v>
      </c>
      <c r="AB136" s="59" t="s">
        <v>52</v>
      </c>
      <c r="AC136" s="59" t="s">
        <v>53</v>
      </c>
      <c r="AD136" s="59">
        <v>6017431444</v>
      </c>
      <c r="AE136" s="59" t="s">
        <v>54</v>
      </c>
      <c r="AF136" s="54" t="s">
        <v>50</v>
      </c>
      <c r="AG136" s="54" t="s">
        <v>50</v>
      </c>
      <c r="AH136" s="54" t="s">
        <v>50</v>
      </c>
      <c r="AI136" s="272" t="s">
        <v>55</v>
      </c>
      <c r="AJ136" s="278" t="s">
        <v>50</v>
      </c>
      <c r="AK136" s="6" t="s">
        <v>55</v>
      </c>
      <c r="AL136" s="6" t="s">
        <v>50</v>
      </c>
      <c r="AM136" s="48"/>
      <c r="AN136" s="71"/>
      <c r="AO136" s="71">
        <f t="shared" si="3"/>
        <v>54600000</v>
      </c>
      <c r="AP136" s="118" t="s">
        <v>50</v>
      </c>
      <c r="AQ136" s="283"/>
    </row>
    <row r="137" spans="1:43" ht="85.5" x14ac:dyDescent="0.25">
      <c r="A137" s="56">
        <v>134</v>
      </c>
      <c r="B137" s="59" t="s">
        <v>36</v>
      </c>
      <c r="C137" s="65" t="s">
        <v>37</v>
      </c>
      <c r="D137" s="82" t="s">
        <v>38</v>
      </c>
      <c r="E137" s="83" t="s">
        <v>39</v>
      </c>
      <c r="F137" s="56" t="s">
        <v>173</v>
      </c>
      <c r="G137" s="59" t="s">
        <v>41</v>
      </c>
      <c r="H137" s="59" t="s">
        <v>42</v>
      </c>
      <c r="I137" s="59" t="s">
        <v>43</v>
      </c>
      <c r="J137" s="59" t="s">
        <v>43</v>
      </c>
      <c r="K137" s="56" t="s">
        <v>44</v>
      </c>
      <c r="L137" s="56">
        <v>100</v>
      </c>
      <c r="M137" s="59" t="s">
        <v>44</v>
      </c>
      <c r="N137" s="66">
        <v>1000000000</v>
      </c>
      <c r="O137" s="59">
        <v>80111600</v>
      </c>
      <c r="P137" s="67" t="s">
        <v>645</v>
      </c>
      <c r="Q137" s="64" t="s">
        <v>121</v>
      </c>
      <c r="R137" s="59" t="s">
        <v>121</v>
      </c>
      <c r="S137" s="59">
        <v>6</v>
      </c>
      <c r="T137" s="59" t="s">
        <v>70</v>
      </c>
      <c r="U137" s="59" t="s">
        <v>48</v>
      </c>
      <c r="V137" s="59" t="s">
        <v>49</v>
      </c>
      <c r="W137" s="234">
        <v>60000000</v>
      </c>
      <c r="X137" s="234">
        <v>60000000</v>
      </c>
      <c r="Y137" s="59" t="s">
        <v>50</v>
      </c>
      <c r="Z137" s="59" t="s">
        <v>50</v>
      </c>
      <c r="AA137" s="59" t="s">
        <v>51</v>
      </c>
      <c r="AB137" s="59" t="s">
        <v>52</v>
      </c>
      <c r="AC137" s="59" t="s">
        <v>53</v>
      </c>
      <c r="AD137" s="59">
        <v>6017431444</v>
      </c>
      <c r="AE137" s="59" t="s">
        <v>54</v>
      </c>
      <c r="AF137" s="54" t="s">
        <v>50</v>
      </c>
      <c r="AG137" s="54" t="s">
        <v>50</v>
      </c>
      <c r="AH137" s="54" t="s">
        <v>50</v>
      </c>
      <c r="AI137" s="272" t="s">
        <v>55</v>
      </c>
      <c r="AJ137" s="278" t="s">
        <v>50</v>
      </c>
      <c r="AK137" s="6" t="s">
        <v>55</v>
      </c>
      <c r="AL137" s="6" t="s">
        <v>50</v>
      </c>
      <c r="AM137" s="48" t="s">
        <v>667</v>
      </c>
      <c r="AN137" s="71"/>
      <c r="AO137" s="71">
        <f t="shared" si="3"/>
        <v>60000000</v>
      </c>
      <c r="AP137" s="118" t="s">
        <v>50</v>
      </c>
      <c r="AQ137" s="283"/>
    </row>
    <row r="138" spans="1:43" ht="85.5" x14ac:dyDescent="0.25">
      <c r="A138" s="56">
        <v>135</v>
      </c>
      <c r="B138" s="59" t="s">
        <v>36</v>
      </c>
      <c r="C138" s="65" t="s">
        <v>37</v>
      </c>
      <c r="D138" s="82" t="s">
        <v>430</v>
      </c>
      <c r="E138" s="83" t="s">
        <v>430</v>
      </c>
      <c r="F138" s="56" t="s">
        <v>173</v>
      </c>
      <c r="G138" s="59" t="s">
        <v>430</v>
      </c>
      <c r="H138" s="59" t="s">
        <v>430</v>
      </c>
      <c r="I138" s="59" t="s">
        <v>430</v>
      </c>
      <c r="J138" s="59" t="s">
        <v>430</v>
      </c>
      <c r="K138" s="56" t="s">
        <v>44</v>
      </c>
      <c r="L138" s="56">
        <v>100</v>
      </c>
      <c r="M138" s="59" t="s">
        <v>44</v>
      </c>
      <c r="N138" s="66">
        <v>0</v>
      </c>
      <c r="O138" s="59">
        <v>0</v>
      </c>
      <c r="P138" s="67" t="s">
        <v>646</v>
      </c>
      <c r="Q138" s="64" t="s">
        <v>121</v>
      </c>
      <c r="R138" s="59" t="s">
        <v>121</v>
      </c>
      <c r="S138" s="59">
        <v>2</v>
      </c>
      <c r="T138" s="59" t="s">
        <v>122</v>
      </c>
      <c r="U138" s="59" t="s">
        <v>48</v>
      </c>
      <c r="V138" s="59" t="s">
        <v>430</v>
      </c>
      <c r="W138" s="234" t="s">
        <v>647</v>
      </c>
      <c r="X138" s="234" t="s">
        <v>430</v>
      </c>
      <c r="Y138" s="59" t="s">
        <v>430</v>
      </c>
      <c r="Z138" s="59" t="s">
        <v>430</v>
      </c>
      <c r="AA138" s="59" t="s">
        <v>51</v>
      </c>
      <c r="AB138" s="59" t="s">
        <v>52</v>
      </c>
      <c r="AC138" s="59" t="s">
        <v>53</v>
      </c>
      <c r="AD138" s="59">
        <v>6017431444</v>
      </c>
      <c r="AE138" s="59" t="s">
        <v>54</v>
      </c>
      <c r="AF138" s="54" t="s">
        <v>50</v>
      </c>
      <c r="AG138" s="54" t="s">
        <v>50</v>
      </c>
      <c r="AH138" s="54" t="s">
        <v>50</v>
      </c>
      <c r="AI138" s="272" t="s">
        <v>55</v>
      </c>
      <c r="AJ138" s="278" t="s">
        <v>50</v>
      </c>
      <c r="AK138" s="6" t="s">
        <v>55</v>
      </c>
      <c r="AL138" s="6" t="s">
        <v>55</v>
      </c>
      <c r="AM138" s="48"/>
      <c r="AN138" s="71"/>
      <c r="AO138" s="71" t="e">
        <f t="shared" si="3"/>
        <v>#VALUE!</v>
      </c>
      <c r="AP138" s="118" t="s">
        <v>50</v>
      </c>
      <c r="AQ138" s="283"/>
    </row>
    <row r="139" spans="1:43" ht="85.5" x14ac:dyDescent="0.25">
      <c r="A139" s="56">
        <v>136</v>
      </c>
      <c r="B139" s="59" t="s">
        <v>36</v>
      </c>
      <c r="C139" s="65" t="s">
        <v>37</v>
      </c>
      <c r="D139" s="82" t="s">
        <v>649</v>
      </c>
      <c r="E139" s="83" t="s">
        <v>650</v>
      </c>
      <c r="F139" s="56" t="s">
        <v>173</v>
      </c>
      <c r="G139" s="59" t="s">
        <v>71</v>
      </c>
      <c r="H139" s="59" t="s">
        <v>391</v>
      </c>
      <c r="I139" s="59" t="s">
        <v>651</v>
      </c>
      <c r="J139" s="59" t="s">
        <v>651</v>
      </c>
      <c r="K139" s="56" t="s">
        <v>652</v>
      </c>
      <c r="L139" s="56">
        <v>101</v>
      </c>
      <c r="M139" s="59" t="s">
        <v>652</v>
      </c>
      <c r="N139" s="66" t="s">
        <v>653</v>
      </c>
      <c r="O139" s="59" t="s">
        <v>654</v>
      </c>
      <c r="P139" s="67" t="s">
        <v>655</v>
      </c>
      <c r="Q139" s="64" t="s">
        <v>121</v>
      </c>
      <c r="R139" s="59" t="s">
        <v>121</v>
      </c>
      <c r="S139" s="59">
        <v>7</v>
      </c>
      <c r="T139" s="59" t="s">
        <v>70</v>
      </c>
      <c r="U139" s="59" t="s">
        <v>157</v>
      </c>
      <c r="V139" s="59" t="s">
        <v>71</v>
      </c>
      <c r="W139" s="234">
        <v>1600000000</v>
      </c>
      <c r="X139" s="234">
        <v>1600000000</v>
      </c>
      <c r="Y139" s="59" t="s">
        <v>50</v>
      </c>
      <c r="Z139" s="59" t="s">
        <v>430</v>
      </c>
      <c r="AA139" s="59" t="s">
        <v>652</v>
      </c>
      <c r="AB139" s="59" t="s">
        <v>52</v>
      </c>
      <c r="AC139" s="59" t="s">
        <v>656</v>
      </c>
      <c r="AD139" s="59">
        <v>3213519760</v>
      </c>
      <c r="AE139" s="323" t="s">
        <v>657</v>
      </c>
      <c r="AF139" s="54" t="s">
        <v>50</v>
      </c>
      <c r="AG139" s="54" t="s">
        <v>55</v>
      </c>
      <c r="AH139" s="54" t="s">
        <v>50</v>
      </c>
      <c r="AI139" s="272" t="s">
        <v>55</v>
      </c>
      <c r="AJ139" s="278" t="s">
        <v>50</v>
      </c>
      <c r="AK139" s="6" t="s">
        <v>50</v>
      </c>
      <c r="AL139" s="6" t="s">
        <v>50</v>
      </c>
      <c r="AM139" s="48"/>
      <c r="AN139" s="71"/>
      <c r="AO139" s="71">
        <f t="shared" si="3"/>
        <v>1600000000</v>
      </c>
      <c r="AP139" s="118" t="s">
        <v>50</v>
      </c>
      <c r="AQ139" s="283"/>
    </row>
    <row r="140" spans="1:43" ht="85.5" x14ac:dyDescent="0.25">
      <c r="A140" s="56">
        <v>137</v>
      </c>
      <c r="B140" s="59" t="s">
        <v>36</v>
      </c>
      <c r="C140" s="65" t="s">
        <v>37</v>
      </c>
      <c r="D140" s="82" t="s">
        <v>371</v>
      </c>
      <c r="E140" s="83" t="s">
        <v>181</v>
      </c>
      <c r="F140" s="56" t="s">
        <v>173</v>
      </c>
      <c r="G140" s="59" t="s">
        <v>361</v>
      </c>
      <c r="H140" s="59" t="s">
        <v>76</v>
      </c>
      <c r="I140" s="59" t="s">
        <v>77</v>
      </c>
      <c r="J140" s="59" t="s">
        <v>77</v>
      </c>
      <c r="K140" s="56" t="s">
        <v>362</v>
      </c>
      <c r="L140" s="56">
        <v>310</v>
      </c>
      <c r="M140" s="59" t="s">
        <v>362</v>
      </c>
      <c r="N140" s="66">
        <v>672000000</v>
      </c>
      <c r="O140" s="59">
        <v>80111607</v>
      </c>
      <c r="P140" s="67" t="s">
        <v>658</v>
      </c>
      <c r="Q140" s="64" t="s">
        <v>659</v>
      </c>
      <c r="R140" s="59" t="s">
        <v>659</v>
      </c>
      <c r="S140" s="59">
        <v>8</v>
      </c>
      <c r="T140" s="59" t="s">
        <v>554</v>
      </c>
      <c r="U140" s="59" t="s">
        <v>48</v>
      </c>
      <c r="V140" s="59" t="s">
        <v>49</v>
      </c>
      <c r="W140" s="234">
        <v>90000000</v>
      </c>
      <c r="X140" s="234">
        <v>90000000</v>
      </c>
      <c r="Y140" s="59" t="s">
        <v>101</v>
      </c>
      <c r="Z140" s="59" t="s">
        <v>660</v>
      </c>
      <c r="AA140" s="59" t="s">
        <v>661</v>
      </c>
      <c r="AB140" s="59" t="s">
        <v>52</v>
      </c>
      <c r="AC140" s="59" t="s">
        <v>364</v>
      </c>
      <c r="AD140" s="59">
        <v>6017431444</v>
      </c>
      <c r="AE140" s="323" t="s">
        <v>366</v>
      </c>
      <c r="AF140" s="54" t="s">
        <v>430</v>
      </c>
      <c r="AG140" s="54" t="s">
        <v>101</v>
      </c>
      <c r="AH140" s="54" t="s">
        <v>101</v>
      </c>
      <c r="AI140" s="272" t="s">
        <v>597</v>
      </c>
      <c r="AJ140" s="278" t="s">
        <v>50</v>
      </c>
      <c r="AK140" s="6" t="s">
        <v>50</v>
      </c>
      <c r="AL140" s="6" t="s">
        <v>50</v>
      </c>
      <c r="AM140" s="48"/>
      <c r="AN140" s="71"/>
      <c r="AO140" s="71">
        <f t="shared" si="3"/>
        <v>90000000</v>
      </c>
      <c r="AP140" s="118" t="s">
        <v>50</v>
      </c>
      <c r="AQ140" s="283"/>
    </row>
    <row r="141" spans="1:43" ht="71.25" x14ac:dyDescent="0.25">
      <c r="A141" s="56">
        <v>138</v>
      </c>
      <c r="B141" s="59" t="s">
        <v>94</v>
      </c>
      <c r="C141" s="65" t="s">
        <v>662</v>
      </c>
      <c r="D141" s="82" t="s">
        <v>549</v>
      </c>
      <c r="E141" s="83" t="s">
        <v>550</v>
      </c>
      <c r="F141" s="56" t="s">
        <v>40</v>
      </c>
      <c r="G141" s="59" t="s">
        <v>361</v>
      </c>
      <c r="H141" s="59" t="s">
        <v>65</v>
      </c>
      <c r="I141" s="59" t="s">
        <v>43</v>
      </c>
      <c r="J141" s="59" t="s">
        <v>43</v>
      </c>
      <c r="K141" s="56" t="s">
        <v>564</v>
      </c>
      <c r="L141" s="56">
        <v>110</v>
      </c>
      <c r="M141" s="59" t="s">
        <v>564</v>
      </c>
      <c r="N141" s="66">
        <v>150000000</v>
      </c>
      <c r="O141" s="59">
        <v>80111600</v>
      </c>
      <c r="P141" s="67" t="s">
        <v>663</v>
      </c>
      <c r="Q141" s="64" t="s">
        <v>121</v>
      </c>
      <c r="R141" s="59" t="s">
        <v>282</v>
      </c>
      <c r="S141" s="59">
        <v>180</v>
      </c>
      <c r="T141" s="59" t="s">
        <v>559</v>
      </c>
      <c r="U141" s="59" t="s">
        <v>48</v>
      </c>
      <c r="V141" s="59" t="s">
        <v>49</v>
      </c>
      <c r="W141" s="234">
        <v>66000000</v>
      </c>
      <c r="X141" s="234">
        <v>66000000</v>
      </c>
      <c r="Y141" s="59" t="s">
        <v>50</v>
      </c>
      <c r="Z141" s="59" t="s">
        <v>50</v>
      </c>
      <c r="AA141" s="59" t="s">
        <v>564</v>
      </c>
      <c r="AB141" s="59" t="s">
        <v>52</v>
      </c>
      <c r="AC141" s="59" t="s">
        <v>271</v>
      </c>
      <c r="AD141" s="59">
        <v>6017431444</v>
      </c>
      <c r="AE141" s="323" t="s">
        <v>272</v>
      </c>
      <c r="AF141" s="54" t="s">
        <v>50</v>
      </c>
      <c r="AG141" s="54" t="s">
        <v>50</v>
      </c>
      <c r="AH141" s="54" t="s">
        <v>50</v>
      </c>
      <c r="AI141" s="272" t="s">
        <v>55</v>
      </c>
      <c r="AJ141" s="278" t="s">
        <v>50</v>
      </c>
      <c r="AK141" s="6" t="s">
        <v>50</v>
      </c>
      <c r="AL141" s="6" t="s">
        <v>50</v>
      </c>
      <c r="AM141" s="48"/>
      <c r="AN141" s="71"/>
      <c r="AO141" s="71">
        <f t="shared" si="3"/>
        <v>66000000</v>
      </c>
      <c r="AP141" s="118" t="s">
        <v>50</v>
      </c>
      <c r="AQ141" s="283"/>
    </row>
    <row r="142" spans="1:43" ht="72" thickBot="1" x14ac:dyDescent="0.3">
      <c r="A142" s="56">
        <v>139</v>
      </c>
      <c r="B142" s="59" t="s">
        <v>94</v>
      </c>
      <c r="C142" s="65" t="s">
        <v>662</v>
      </c>
      <c r="D142" s="82" t="s">
        <v>549</v>
      </c>
      <c r="E142" s="83" t="s">
        <v>550</v>
      </c>
      <c r="F142" s="56" t="s">
        <v>40</v>
      </c>
      <c r="G142" s="59" t="s">
        <v>361</v>
      </c>
      <c r="H142" s="59" t="s">
        <v>65</v>
      </c>
      <c r="I142" s="59" t="s">
        <v>43</v>
      </c>
      <c r="J142" s="59" t="s">
        <v>43</v>
      </c>
      <c r="K142" s="56" t="s">
        <v>564</v>
      </c>
      <c r="L142" s="56">
        <v>110</v>
      </c>
      <c r="M142" s="59" t="s">
        <v>564</v>
      </c>
      <c r="N142" s="66">
        <v>150000000</v>
      </c>
      <c r="O142" s="59">
        <v>80111600</v>
      </c>
      <c r="P142" s="67" t="s">
        <v>664</v>
      </c>
      <c r="Q142" s="64" t="s">
        <v>121</v>
      </c>
      <c r="R142" s="59" t="s">
        <v>282</v>
      </c>
      <c r="S142" s="59">
        <v>120</v>
      </c>
      <c r="T142" s="59" t="s">
        <v>559</v>
      </c>
      <c r="U142" s="59" t="s">
        <v>48</v>
      </c>
      <c r="V142" s="59" t="s">
        <v>49</v>
      </c>
      <c r="W142" s="234">
        <v>60000000</v>
      </c>
      <c r="X142" s="234">
        <v>60000000</v>
      </c>
      <c r="Y142" s="59" t="s">
        <v>50</v>
      </c>
      <c r="Z142" s="59" t="s">
        <v>50</v>
      </c>
      <c r="AA142" s="59" t="s">
        <v>564</v>
      </c>
      <c r="AB142" s="59" t="s">
        <v>52</v>
      </c>
      <c r="AC142" s="59" t="s">
        <v>271</v>
      </c>
      <c r="AD142" s="59">
        <v>6017431444</v>
      </c>
      <c r="AE142" s="323" t="s">
        <v>272</v>
      </c>
      <c r="AF142" s="54" t="s">
        <v>50</v>
      </c>
      <c r="AG142" s="54" t="s">
        <v>50</v>
      </c>
      <c r="AH142" s="54" t="s">
        <v>50</v>
      </c>
      <c r="AI142" s="272" t="s">
        <v>55</v>
      </c>
      <c r="AJ142" s="285" t="s">
        <v>50</v>
      </c>
      <c r="AK142" s="286" t="s">
        <v>50</v>
      </c>
      <c r="AL142" s="286" t="s">
        <v>50</v>
      </c>
      <c r="AM142" s="287"/>
      <c r="AN142" s="288"/>
      <c r="AO142" s="288">
        <f t="shared" si="3"/>
        <v>60000000</v>
      </c>
      <c r="AP142" s="289" t="s">
        <v>50</v>
      </c>
      <c r="AQ142" s="290"/>
    </row>
    <row r="143" spans="1:43" x14ac:dyDescent="0.25">
      <c r="A143" s="3"/>
      <c r="B143" s="3"/>
      <c r="C143" s="3"/>
      <c r="D143" s="3"/>
      <c r="E143" s="3"/>
      <c r="F143" s="3"/>
      <c r="G143" s="3"/>
      <c r="H143" s="3"/>
      <c r="I143" s="3"/>
      <c r="J143" s="3"/>
      <c r="K143" s="3"/>
      <c r="L143" s="3"/>
      <c r="M143" s="3"/>
      <c r="N143" s="4"/>
      <c r="O143" s="6"/>
      <c r="P143" s="6"/>
      <c r="Q143" s="11"/>
      <c r="R143" s="6"/>
      <c r="S143" s="6"/>
      <c r="T143" s="6"/>
      <c r="U143" s="6"/>
      <c r="V143" s="6"/>
      <c r="W143" s="231"/>
      <c r="X143" s="231"/>
      <c r="Y143" s="6"/>
      <c r="Z143" s="6"/>
      <c r="AA143" s="6"/>
      <c r="AB143" s="6"/>
      <c r="AC143" s="6"/>
      <c r="AD143" s="6"/>
      <c r="AE143" s="6"/>
      <c r="AF143" s="6"/>
      <c r="AG143" s="6"/>
      <c r="AH143" s="6"/>
      <c r="AI143" s="6"/>
      <c r="AJ143" s="11"/>
      <c r="AK143" s="11"/>
      <c r="AL143" s="11"/>
      <c r="AM143" s="108"/>
      <c r="AN143" s="273"/>
      <c r="AO143" s="109">
        <f t="shared" si="3"/>
        <v>0</v>
      </c>
      <c r="AP143" s="11"/>
      <c r="AQ143" s="274"/>
    </row>
    <row r="144" spans="1:43" x14ac:dyDescent="0.25">
      <c r="A144" s="3"/>
      <c r="B144" s="3"/>
      <c r="C144" s="3"/>
      <c r="D144" s="3"/>
      <c r="E144" s="3"/>
      <c r="F144" s="3"/>
      <c r="G144" s="3"/>
      <c r="H144" s="3"/>
      <c r="I144" s="3"/>
      <c r="J144" s="3"/>
      <c r="K144" s="3"/>
      <c r="L144" s="3"/>
      <c r="M144" s="3"/>
      <c r="N144" s="4"/>
      <c r="O144" s="6"/>
      <c r="P144" s="6"/>
      <c r="Q144" s="6"/>
      <c r="R144" s="6"/>
      <c r="S144" s="6"/>
      <c r="T144" s="6"/>
      <c r="U144" s="6"/>
      <c r="V144" s="6"/>
      <c r="W144" s="231"/>
      <c r="X144" s="231"/>
      <c r="Y144" s="6"/>
      <c r="Z144" s="6"/>
      <c r="AA144" s="6"/>
      <c r="AB144" s="6"/>
      <c r="AC144" s="6"/>
      <c r="AD144" s="6"/>
      <c r="AE144" s="6"/>
      <c r="AF144" s="6"/>
      <c r="AG144" s="6"/>
      <c r="AH144" s="6"/>
      <c r="AI144" s="6"/>
      <c r="AJ144" s="6"/>
      <c r="AK144" s="6"/>
      <c r="AL144" s="6"/>
      <c r="AM144" s="48"/>
      <c r="AN144" s="52"/>
      <c r="AO144" s="71">
        <f t="shared" si="3"/>
        <v>0</v>
      </c>
      <c r="AP144" s="6"/>
      <c r="AQ144" s="122"/>
    </row>
    <row r="145" spans="1:43" x14ac:dyDescent="0.25">
      <c r="A145" s="3"/>
      <c r="B145" s="3"/>
      <c r="C145" s="3"/>
      <c r="D145" s="3"/>
      <c r="E145" s="3"/>
      <c r="F145" s="3"/>
      <c r="G145" s="3"/>
      <c r="H145" s="3"/>
      <c r="I145" s="3"/>
      <c r="J145" s="3"/>
      <c r="K145" s="3"/>
      <c r="L145" s="3"/>
      <c r="M145" s="3"/>
      <c r="N145" s="4"/>
      <c r="O145" s="6"/>
      <c r="P145" s="6"/>
      <c r="Q145" s="6"/>
      <c r="R145" s="6"/>
      <c r="S145" s="6"/>
      <c r="T145" s="6"/>
      <c r="U145" s="6"/>
      <c r="V145" s="6"/>
      <c r="W145" s="231"/>
      <c r="X145" s="231"/>
      <c r="Y145" s="6"/>
      <c r="Z145" s="6"/>
      <c r="AA145" s="6"/>
      <c r="AB145" s="6"/>
      <c r="AC145" s="6"/>
      <c r="AD145" s="6"/>
      <c r="AE145" s="6"/>
      <c r="AF145" s="6"/>
      <c r="AG145" s="6"/>
      <c r="AH145" s="6"/>
      <c r="AI145" s="6"/>
      <c r="AJ145" s="6"/>
      <c r="AK145" s="6"/>
      <c r="AL145" s="6"/>
      <c r="AM145" s="48"/>
      <c r="AN145" s="52"/>
      <c r="AO145" s="71">
        <f t="shared" si="3"/>
        <v>0</v>
      </c>
      <c r="AP145" s="6"/>
      <c r="AQ145" s="122"/>
    </row>
    <row r="146" spans="1:43" x14ac:dyDescent="0.25">
      <c r="A146" s="3"/>
      <c r="B146" s="3"/>
      <c r="C146" s="3"/>
      <c r="D146" s="3"/>
      <c r="E146" s="3"/>
      <c r="F146" s="3"/>
      <c r="G146" s="3"/>
      <c r="H146" s="3"/>
      <c r="I146" s="3"/>
      <c r="J146" s="3"/>
      <c r="K146" s="3"/>
      <c r="L146" s="3"/>
      <c r="M146" s="3"/>
      <c r="N146" s="4"/>
      <c r="O146" s="6"/>
      <c r="P146" s="6"/>
      <c r="Q146" s="6"/>
      <c r="R146" s="6"/>
      <c r="S146" s="6"/>
      <c r="T146" s="6"/>
      <c r="U146" s="6"/>
      <c r="V146" s="6"/>
      <c r="W146" s="231"/>
      <c r="X146" s="231"/>
      <c r="Y146" s="6"/>
      <c r="Z146" s="6"/>
      <c r="AA146" s="6"/>
      <c r="AB146" s="6"/>
      <c r="AC146" s="6"/>
      <c r="AD146" s="6"/>
      <c r="AE146" s="6"/>
      <c r="AF146" s="6"/>
      <c r="AG146" s="6"/>
      <c r="AH146" s="6"/>
      <c r="AI146" s="6"/>
      <c r="AJ146" s="6"/>
      <c r="AK146" s="6"/>
      <c r="AL146" s="6"/>
      <c r="AM146" s="48"/>
      <c r="AN146" s="52"/>
      <c r="AO146" s="71">
        <f t="shared" si="3"/>
        <v>0</v>
      </c>
      <c r="AP146" s="6"/>
      <c r="AQ146" s="122"/>
    </row>
    <row r="147" spans="1:43" x14ac:dyDescent="0.25">
      <c r="A147" s="3"/>
      <c r="B147" s="3"/>
      <c r="C147" s="3"/>
      <c r="D147" s="3"/>
      <c r="E147" s="3"/>
      <c r="F147" s="3"/>
      <c r="G147" s="3"/>
      <c r="H147" s="3"/>
      <c r="I147" s="3"/>
      <c r="J147" s="3"/>
      <c r="K147" s="3"/>
      <c r="L147" s="3"/>
      <c r="M147" s="3"/>
      <c r="N147" s="4"/>
      <c r="O147" s="6"/>
      <c r="P147" s="6"/>
      <c r="Q147" s="6"/>
      <c r="R147" s="6"/>
      <c r="S147" s="6"/>
      <c r="T147" s="6"/>
      <c r="U147" s="6"/>
      <c r="V147" s="6"/>
      <c r="W147" s="231"/>
      <c r="X147" s="231"/>
      <c r="Y147" s="6"/>
      <c r="Z147" s="6"/>
      <c r="AA147" s="6"/>
      <c r="AB147" s="6"/>
      <c r="AC147" s="6"/>
      <c r="AD147" s="6"/>
      <c r="AE147" s="6"/>
      <c r="AF147" s="6"/>
      <c r="AG147" s="6"/>
      <c r="AH147" s="6"/>
      <c r="AI147" s="6"/>
      <c r="AJ147" s="6"/>
      <c r="AK147" s="6"/>
      <c r="AL147" s="6"/>
      <c r="AM147" s="48"/>
      <c r="AN147" s="52"/>
      <c r="AO147" s="71">
        <f t="shared" si="3"/>
        <v>0</v>
      </c>
      <c r="AP147" s="6"/>
      <c r="AQ147" s="122"/>
    </row>
    <row r="148" spans="1:43" x14ac:dyDescent="0.25">
      <c r="A148" s="3"/>
      <c r="B148" s="3"/>
      <c r="C148" s="3"/>
      <c r="D148" s="3"/>
      <c r="E148" s="3"/>
      <c r="F148" s="3"/>
      <c r="G148" s="3"/>
      <c r="H148" s="3"/>
      <c r="I148" s="3"/>
      <c r="J148" s="3"/>
      <c r="K148" s="3"/>
      <c r="L148" s="3"/>
      <c r="M148" s="3"/>
      <c r="N148" s="4"/>
      <c r="O148" s="6"/>
      <c r="P148" s="6"/>
      <c r="Q148" s="6"/>
      <c r="R148" s="6"/>
      <c r="S148" s="6"/>
      <c r="T148" s="6"/>
      <c r="U148" s="6"/>
      <c r="V148" s="6"/>
      <c r="W148" s="231"/>
      <c r="X148" s="231"/>
      <c r="Y148" s="6"/>
      <c r="Z148" s="6"/>
      <c r="AA148" s="6"/>
      <c r="AB148" s="6"/>
      <c r="AC148" s="6"/>
      <c r="AD148" s="6"/>
      <c r="AE148" s="6"/>
      <c r="AF148" s="6"/>
      <c r="AG148" s="6"/>
      <c r="AH148" s="6"/>
      <c r="AI148" s="6"/>
      <c r="AJ148" s="6"/>
      <c r="AK148" s="6"/>
      <c r="AL148" s="6"/>
      <c r="AM148" s="48"/>
      <c r="AN148" s="52"/>
      <c r="AO148" s="71">
        <f t="shared" si="3"/>
        <v>0</v>
      </c>
      <c r="AP148" s="6"/>
      <c r="AQ148" s="122"/>
    </row>
    <row r="149" spans="1:43" x14ac:dyDescent="0.25">
      <c r="A149" s="3"/>
      <c r="B149" s="3"/>
      <c r="C149" s="3"/>
      <c r="D149" s="3"/>
      <c r="E149" s="3"/>
      <c r="F149" s="3"/>
      <c r="G149" s="3"/>
      <c r="H149" s="3"/>
      <c r="I149" s="3"/>
      <c r="J149" s="3"/>
      <c r="K149" s="3"/>
      <c r="L149" s="3"/>
      <c r="M149" s="3"/>
      <c r="N149" s="4"/>
      <c r="O149" s="6"/>
      <c r="P149" s="6"/>
      <c r="Q149" s="6"/>
      <c r="R149" s="6"/>
      <c r="S149" s="6"/>
      <c r="T149" s="6"/>
      <c r="U149" s="6"/>
      <c r="V149" s="6"/>
      <c r="W149" s="231"/>
      <c r="X149" s="231"/>
      <c r="Y149" s="6"/>
      <c r="Z149" s="6"/>
      <c r="AA149" s="6"/>
      <c r="AB149" s="6"/>
      <c r="AC149" s="6"/>
      <c r="AD149" s="6"/>
      <c r="AE149" s="6"/>
      <c r="AF149" s="6"/>
      <c r="AG149" s="6"/>
      <c r="AH149" s="6"/>
      <c r="AI149" s="6"/>
      <c r="AJ149" s="6"/>
      <c r="AK149" s="6"/>
      <c r="AL149" s="6"/>
      <c r="AM149" s="48"/>
      <c r="AN149" s="52"/>
      <c r="AO149" s="71">
        <f t="shared" si="3"/>
        <v>0</v>
      </c>
      <c r="AP149" s="6"/>
      <c r="AQ149" s="122"/>
    </row>
    <row r="150" spans="1:43" x14ac:dyDescent="0.25">
      <c r="A150" s="3"/>
      <c r="B150" s="3"/>
      <c r="C150" s="3"/>
      <c r="D150" s="3"/>
      <c r="E150" s="3"/>
      <c r="F150" s="3"/>
      <c r="G150" s="3"/>
      <c r="H150" s="3"/>
      <c r="I150" s="3"/>
      <c r="J150" s="3"/>
      <c r="K150" s="3"/>
      <c r="L150" s="3"/>
      <c r="M150" s="3"/>
      <c r="N150" s="4"/>
      <c r="O150" s="6"/>
      <c r="P150" s="6"/>
      <c r="Q150" s="6"/>
      <c r="R150" s="6"/>
      <c r="S150" s="6"/>
      <c r="T150" s="6"/>
      <c r="U150" s="6"/>
      <c r="V150" s="6"/>
      <c r="W150" s="231"/>
      <c r="X150" s="231"/>
      <c r="Y150" s="6"/>
      <c r="Z150" s="6"/>
      <c r="AA150" s="6"/>
      <c r="AB150" s="6"/>
      <c r="AC150" s="6"/>
      <c r="AD150" s="6"/>
      <c r="AE150" s="6"/>
      <c r="AF150" s="6"/>
      <c r="AG150" s="6"/>
      <c r="AH150" s="6"/>
      <c r="AI150" s="6"/>
      <c r="AJ150" s="6"/>
      <c r="AK150" s="6"/>
      <c r="AL150" s="6"/>
      <c r="AM150" s="48"/>
      <c r="AN150" s="52"/>
      <c r="AO150" s="71">
        <f t="shared" si="3"/>
        <v>0</v>
      </c>
      <c r="AP150" s="6"/>
      <c r="AQ150" s="122"/>
    </row>
    <row r="151" spans="1:43" x14ac:dyDescent="0.25">
      <c r="A151" s="3"/>
      <c r="B151" s="3"/>
      <c r="C151" s="3"/>
      <c r="D151" s="3"/>
      <c r="E151" s="3"/>
      <c r="F151" s="3"/>
      <c r="G151" s="3"/>
      <c r="H151" s="3"/>
      <c r="I151" s="3"/>
      <c r="J151" s="3"/>
      <c r="K151" s="3"/>
      <c r="L151" s="3"/>
      <c r="M151" s="3"/>
      <c r="N151" s="4"/>
      <c r="O151" s="6"/>
      <c r="P151" s="6"/>
      <c r="Q151" s="6"/>
      <c r="R151" s="6"/>
      <c r="S151" s="6"/>
      <c r="T151" s="6"/>
      <c r="U151" s="6"/>
      <c r="V151" s="6"/>
      <c r="W151" s="231"/>
      <c r="X151" s="231"/>
      <c r="Y151" s="6"/>
      <c r="Z151" s="6"/>
      <c r="AA151" s="6"/>
      <c r="AB151" s="6"/>
      <c r="AC151" s="6"/>
      <c r="AD151" s="6"/>
      <c r="AE151" s="6"/>
      <c r="AF151" s="6"/>
      <c r="AG151" s="6"/>
      <c r="AH151" s="6"/>
      <c r="AI151" s="6"/>
      <c r="AJ151" s="6"/>
      <c r="AK151" s="6"/>
      <c r="AL151" s="6"/>
      <c r="AM151" s="48"/>
      <c r="AN151" s="52"/>
      <c r="AO151" s="71">
        <f t="shared" si="3"/>
        <v>0</v>
      </c>
      <c r="AP151" s="6"/>
      <c r="AQ151" s="122"/>
    </row>
    <row r="152" spans="1:43" x14ac:dyDescent="0.25">
      <c r="A152" s="3"/>
      <c r="B152" s="3"/>
      <c r="C152" s="3"/>
      <c r="D152" s="3"/>
      <c r="E152" s="3"/>
      <c r="F152" s="3"/>
      <c r="G152" s="3"/>
      <c r="H152" s="3"/>
      <c r="I152" s="3"/>
      <c r="J152" s="3"/>
      <c r="K152" s="3"/>
      <c r="L152" s="3"/>
      <c r="M152" s="3"/>
      <c r="N152" s="4"/>
      <c r="O152" s="6"/>
      <c r="P152" s="6"/>
      <c r="Q152" s="6"/>
      <c r="R152" s="6"/>
      <c r="S152" s="6"/>
      <c r="T152" s="6"/>
      <c r="U152" s="6"/>
      <c r="V152" s="6"/>
      <c r="W152" s="231"/>
      <c r="X152" s="231"/>
      <c r="Y152" s="6"/>
      <c r="Z152" s="6"/>
      <c r="AA152" s="6"/>
      <c r="AB152" s="6"/>
      <c r="AC152" s="6"/>
      <c r="AD152" s="6"/>
      <c r="AE152" s="6"/>
      <c r="AF152" s="6"/>
      <c r="AG152" s="6"/>
      <c r="AH152" s="6"/>
      <c r="AI152" s="6"/>
      <c r="AJ152" s="6"/>
      <c r="AK152" s="6"/>
      <c r="AL152" s="6"/>
      <c r="AM152" s="48"/>
      <c r="AN152" s="52"/>
      <c r="AO152" s="71">
        <f t="shared" si="3"/>
        <v>0</v>
      </c>
      <c r="AP152" s="6"/>
      <c r="AQ152" s="122"/>
    </row>
    <row r="153" spans="1:43" x14ac:dyDescent="0.25">
      <c r="A153" s="3"/>
      <c r="B153" s="3"/>
      <c r="C153" s="3"/>
      <c r="D153" s="3"/>
      <c r="E153" s="3"/>
      <c r="F153" s="3"/>
      <c r="G153" s="3"/>
      <c r="H153" s="3"/>
      <c r="I153" s="3"/>
      <c r="J153" s="3"/>
      <c r="K153" s="3"/>
      <c r="L153" s="3"/>
      <c r="M153" s="3"/>
      <c r="N153" s="4"/>
      <c r="O153" s="6"/>
      <c r="P153" s="6"/>
      <c r="Q153" s="6"/>
      <c r="R153" s="6"/>
      <c r="S153" s="6"/>
      <c r="T153" s="6"/>
      <c r="U153" s="6"/>
      <c r="V153" s="6"/>
      <c r="W153" s="231"/>
      <c r="X153" s="231"/>
      <c r="Y153" s="6"/>
      <c r="Z153" s="6"/>
      <c r="AA153" s="6"/>
      <c r="AB153" s="6"/>
      <c r="AC153" s="6"/>
      <c r="AD153" s="6"/>
      <c r="AE153" s="6"/>
      <c r="AF153" s="6"/>
      <c r="AG153" s="6"/>
      <c r="AH153" s="6"/>
      <c r="AI153" s="6"/>
      <c r="AJ153" s="6"/>
      <c r="AK153" s="6"/>
      <c r="AL153" s="6"/>
      <c r="AM153" s="48"/>
      <c r="AN153" s="52"/>
      <c r="AO153" s="71">
        <f t="shared" si="3"/>
        <v>0</v>
      </c>
      <c r="AP153" s="6"/>
      <c r="AQ153" s="122"/>
    </row>
    <row r="154" spans="1:43" x14ac:dyDescent="0.25">
      <c r="A154" s="3"/>
      <c r="B154" s="3"/>
      <c r="C154" s="3"/>
      <c r="D154" s="3"/>
      <c r="E154" s="3"/>
      <c r="F154" s="3"/>
      <c r="G154" s="3"/>
      <c r="H154" s="3"/>
      <c r="I154" s="3"/>
      <c r="J154" s="3"/>
      <c r="K154" s="3"/>
      <c r="L154" s="3"/>
      <c r="M154" s="3"/>
      <c r="N154" s="4"/>
      <c r="O154" s="6"/>
      <c r="P154" s="6"/>
      <c r="Q154" s="6"/>
      <c r="R154" s="6"/>
      <c r="S154" s="6"/>
      <c r="T154" s="6"/>
      <c r="U154" s="6"/>
      <c r="V154" s="6"/>
      <c r="W154" s="231"/>
      <c r="X154" s="231"/>
      <c r="Y154" s="6"/>
      <c r="Z154" s="6"/>
      <c r="AA154" s="6"/>
      <c r="AB154" s="6"/>
      <c r="AC154" s="6"/>
      <c r="AD154" s="6"/>
      <c r="AE154" s="6"/>
      <c r="AF154" s="6"/>
      <c r="AG154" s="6"/>
      <c r="AH154" s="6"/>
      <c r="AI154" s="6"/>
      <c r="AJ154" s="6"/>
      <c r="AK154" s="6"/>
      <c r="AL154" s="6"/>
      <c r="AM154" s="48"/>
      <c r="AN154" s="52"/>
      <c r="AO154" s="71">
        <f t="shared" si="3"/>
        <v>0</v>
      </c>
      <c r="AP154" s="6"/>
      <c r="AQ154" s="122"/>
    </row>
    <row r="155" spans="1:43" x14ac:dyDescent="0.25">
      <c r="A155" s="3"/>
      <c r="B155" s="3"/>
      <c r="C155" s="3"/>
      <c r="D155" s="3"/>
      <c r="E155" s="3"/>
      <c r="F155" s="3"/>
      <c r="G155" s="3"/>
      <c r="H155" s="3"/>
      <c r="I155" s="3"/>
      <c r="J155" s="3"/>
      <c r="K155" s="3"/>
      <c r="L155" s="3"/>
      <c r="M155" s="3"/>
      <c r="N155" s="4"/>
      <c r="O155" s="6"/>
      <c r="P155" s="6"/>
      <c r="Q155" s="6"/>
      <c r="R155" s="6"/>
      <c r="S155" s="6"/>
      <c r="T155" s="6"/>
      <c r="U155" s="6"/>
      <c r="V155" s="6"/>
      <c r="W155" s="231"/>
      <c r="X155" s="231"/>
      <c r="Y155" s="6"/>
      <c r="Z155" s="6"/>
      <c r="AA155" s="6"/>
      <c r="AB155" s="6"/>
      <c r="AC155" s="6"/>
      <c r="AD155" s="6"/>
      <c r="AE155" s="6"/>
      <c r="AF155" s="6"/>
      <c r="AG155" s="6"/>
      <c r="AH155" s="6"/>
      <c r="AI155" s="6"/>
      <c r="AJ155" s="6"/>
      <c r="AK155" s="6"/>
      <c r="AL155" s="6"/>
      <c r="AM155" s="48"/>
      <c r="AN155" s="52"/>
      <c r="AO155" s="71">
        <f t="shared" si="3"/>
        <v>0</v>
      </c>
      <c r="AP155" s="6"/>
      <c r="AQ155" s="122"/>
    </row>
    <row r="156" spans="1:43" x14ac:dyDescent="0.25">
      <c r="A156" s="3"/>
      <c r="B156" s="3"/>
      <c r="C156" s="3"/>
      <c r="D156" s="3"/>
      <c r="E156" s="3"/>
      <c r="F156" s="3"/>
      <c r="G156" s="3"/>
      <c r="H156" s="3"/>
      <c r="I156" s="3"/>
      <c r="J156" s="3"/>
      <c r="K156" s="3"/>
      <c r="L156" s="3"/>
      <c r="M156" s="3"/>
      <c r="N156" s="4"/>
      <c r="O156" s="6"/>
      <c r="P156" s="6"/>
      <c r="Q156" s="6"/>
      <c r="R156" s="6"/>
      <c r="S156" s="6"/>
      <c r="T156" s="6"/>
      <c r="U156" s="6"/>
      <c r="V156" s="6"/>
      <c r="W156" s="231"/>
      <c r="X156" s="231"/>
      <c r="Y156" s="6"/>
      <c r="Z156" s="6"/>
      <c r="AA156" s="6"/>
      <c r="AB156" s="6"/>
      <c r="AC156" s="6"/>
      <c r="AD156" s="6"/>
      <c r="AE156" s="6"/>
      <c r="AF156" s="6"/>
      <c r="AG156" s="6"/>
      <c r="AH156" s="6"/>
      <c r="AI156" s="6"/>
      <c r="AJ156" s="6"/>
      <c r="AK156" s="6"/>
      <c r="AL156" s="6"/>
      <c r="AM156" s="48"/>
      <c r="AN156" s="52"/>
      <c r="AO156" s="71">
        <f t="shared" si="3"/>
        <v>0</v>
      </c>
      <c r="AP156" s="6"/>
      <c r="AQ156" s="122"/>
    </row>
    <row r="157" spans="1:43" x14ac:dyDescent="0.25">
      <c r="A157" s="3"/>
      <c r="B157" s="3"/>
      <c r="C157" s="3"/>
      <c r="D157" s="3"/>
      <c r="E157" s="3"/>
      <c r="F157" s="3"/>
      <c r="G157" s="3"/>
      <c r="H157" s="3"/>
      <c r="I157" s="3"/>
      <c r="J157" s="3"/>
      <c r="K157" s="3"/>
      <c r="L157" s="3"/>
      <c r="M157" s="3"/>
      <c r="N157" s="4"/>
      <c r="O157" s="6"/>
      <c r="P157" s="6"/>
      <c r="Q157" s="6"/>
      <c r="R157" s="6"/>
      <c r="S157" s="6"/>
      <c r="T157" s="6"/>
      <c r="U157" s="6"/>
      <c r="V157" s="6"/>
      <c r="W157" s="231"/>
      <c r="X157" s="231"/>
      <c r="Y157" s="6"/>
      <c r="Z157" s="6"/>
      <c r="AA157" s="6"/>
      <c r="AB157" s="6"/>
      <c r="AC157" s="6"/>
      <c r="AD157" s="6"/>
      <c r="AE157" s="6"/>
      <c r="AF157" s="6"/>
      <c r="AG157" s="6"/>
      <c r="AH157" s="6"/>
      <c r="AI157" s="6"/>
      <c r="AJ157" s="6"/>
      <c r="AK157" s="6"/>
      <c r="AL157" s="6"/>
      <c r="AM157" s="48"/>
      <c r="AN157" s="52"/>
      <c r="AO157" s="71">
        <f t="shared" si="3"/>
        <v>0</v>
      </c>
      <c r="AP157" s="6"/>
      <c r="AQ157" s="122"/>
    </row>
    <row r="158" spans="1:43" x14ac:dyDescent="0.25">
      <c r="A158" s="3"/>
      <c r="B158" s="3"/>
      <c r="C158" s="3"/>
      <c r="D158" s="3"/>
      <c r="E158" s="3"/>
      <c r="F158" s="3"/>
      <c r="G158" s="3"/>
      <c r="H158" s="3"/>
      <c r="I158" s="3"/>
      <c r="J158" s="3"/>
      <c r="K158" s="3"/>
      <c r="L158" s="3"/>
      <c r="M158" s="3"/>
      <c r="N158" s="4"/>
      <c r="O158" s="6"/>
      <c r="P158" s="6"/>
      <c r="Q158" s="6"/>
      <c r="R158" s="6"/>
      <c r="S158" s="6"/>
      <c r="T158" s="6"/>
      <c r="U158" s="6"/>
      <c r="V158" s="6"/>
      <c r="W158" s="231"/>
      <c r="X158" s="231"/>
      <c r="Y158" s="6"/>
      <c r="Z158" s="6"/>
      <c r="AA158" s="6"/>
      <c r="AB158" s="6"/>
      <c r="AC158" s="6"/>
      <c r="AD158" s="6"/>
      <c r="AE158" s="6"/>
      <c r="AF158" s="6"/>
      <c r="AG158" s="6"/>
      <c r="AH158" s="6"/>
      <c r="AI158" s="6"/>
      <c r="AJ158" s="6"/>
      <c r="AK158" s="6"/>
      <c r="AL158" s="6"/>
      <c r="AM158" s="48"/>
      <c r="AN158" s="52"/>
      <c r="AO158" s="71">
        <f t="shared" si="3"/>
        <v>0</v>
      </c>
      <c r="AP158" s="6"/>
      <c r="AQ158" s="122"/>
    </row>
    <row r="159" spans="1:43" x14ac:dyDescent="0.25">
      <c r="A159" s="3"/>
      <c r="B159" s="3"/>
      <c r="C159" s="3"/>
      <c r="D159" s="3"/>
      <c r="E159" s="3"/>
      <c r="F159" s="3"/>
      <c r="G159" s="3"/>
      <c r="H159" s="3"/>
      <c r="I159" s="3"/>
      <c r="J159" s="3"/>
      <c r="K159" s="3"/>
      <c r="L159" s="3"/>
      <c r="M159" s="3"/>
      <c r="N159" s="4"/>
      <c r="O159" s="6"/>
      <c r="P159" s="6"/>
      <c r="Q159" s="6"/>
      <c r="R159" s="6"/>
      <c r="S159" s="6"/>
      <c r="T159" s="6"/>
      <c r="U159" s="6"/>
      <c r="V159" s="6"/>
      <c r="W159" s="231"/>
      <c r="X159" s="231"/>
      <c r="Y159" s="6"/>
      <c r="Z159" s="6"/>
      <c r="AA159" s="6"/>
      <c r="AB159" s="6"/>
      <c r="AC159" s="6"/>
      <c r="AD159" s="6"/>
      <c r="AE159" s="6"/>
      <c r="AF159" s="6"/>
      <c r="AG159" s="6"/>
      <c r="AH159" s="6"/>
      <c r="AI159" s="6"/>
      <c r="AJ159" s="6"/>
      <c r="AK159" s="6"/>
      <c r="AL159" s="6"/>
      <c r="AM159" s="48"/>
      <c r="AN159" s="52"/>
      <c r="AO159" s="71">
        <f t="shared" si="3"/>
        <v>0</v>
      </c>
      <c r="AP159" s="6"/>
      <c r="AQ159" s="122"/>
    </row>
    <row r="160" spans="1:43" x14ac:dyDescent="0.25">
      <c r="A160" s="3"/>
      <c r="B160" s="3"/>
      <c r="C160" s="3"/>
      <c r="D160" s="3"/>
      <c r="E160" s="3"/>
      <c r="F160" s="3"/>
      <c r="G160" s="3"/>
      <c r="H160" s="3"/>
      <c r="I160" s="3"/>
      <c r="J160" s="3"/>
      <c r="K160" s="3"/>
      <c r="L160" s="3"/>
      <c r="M160" s="3"/>
      <c r="N160" s="4"/>
      <c r="O160" s="6"/>
      <c r="P160" s="6"/>
      <c r="Q160" s="6"/>
      <c r="R160" s="6"/>
      <c r="S160" s="6"/>
      <c r="T160" s="6"/>
      <c r="U160" s="6"/>
      <c r="V160" s="6"/>
      <c r="W160" s="231"/>
      <c r="X160" s="231"/>
      <c r="Y160" s="6"/>
      <c r="Z160" s="6"/>
      <c r="AA160" s="6"/>
      <c r="AB160" s="6"/>
      <c r="AC160" s="6"/>
      <c r="AD160" s="6"/>
      <c r="AE160" s="6"/>
      <c r="AF160" s="6"/>
      <c r="AG160" s="6"/>
      <c r="AH160" s="6"/>
      <c r="AI160" s="6"/>
      <c r="AJ160" s="6"/>
      <c r="AK160" s="6"/>
      <c r="AL160" s="6"/>
      <c r="AM160" s="48"/>
      <c r="AN160" s="52"/>
      <c r="AO160" s="71">
        <f t="shared" si="3"/>
        <v>0</v>
      </c>
      <c r="AP160" s="6"/>
      <c r="AQ160" s="122"/>
    </row>
    <row r="161" spans="1:43" x14ac:dyDescent="0.25">
      <c r="A161" s="3"/>
      <c r="B161" s="3"/>
      <c r="C161" s="3"/>
      <c r="D161" s="3"/>
      <c r="E161" s="3"/>
      <c r="F161" s="3"/>
      <c r="G161" s="3"/>
      <c r="H161" s="3"/>
      <c r="I161" s="3"/>
      <c r="J161" s="3"/>
      <c r="K161" s="3"/>
      <c r="L161" s="3"/>
      <c r="M161" s="3"/>
      <c r="N161" s="4"/>
      <c r="O161" s="6"/>
      <c r="P161" s="6"/>
      <c r="Q161" s="6"/>
      <c r="R161" s="6"/>
      <c r="S161" s="6"/>
      <c r="T161" s="6"/>
      <c r="U161" s="6"/>
      <c r="V161" s="6"/>
      <c r="W161" s="231"/>
      <c r="X161" s="231"/>
      <c r="Y161" s="6"/>
      <c r="Z161" s="6"/>
      <c r="AA161" s="6"/>
      <c r="AB161" s="6"/>
      <c r="AC161" s="6"/>
      <c r="AD161" s="6"/>
      <c r="AE161" s="6"/>
      <c r="AF161" s="6"/>
      <c r="AG161" s="6"/>
      <c r="AH161" s="6"/>
      <c r="AI161" s="6"/>
      <c r="AJ161" s="6"/>
      <c r="AK161" s="6"/>
      <c r="AL161" s="6"/>
      <c r="AM161" s="48"/>
      <c r="AN161" s="52"/>
      <c r="AO161" s="71">
        <f t="shared" si="3"/>
        <v>0</v>
      </c>
      <c r="AP161" s="6"/>
      <c r="AQ161" s="122"/>
    </row>
    <row r="162" spans="1:43" x14ac:dyDescent="0.25">
      <c r="A162" s="3"/>
      <c r="B162" s="3"/>
      <c r="C162" s="3"/>
      <c r="D162" s="3"/>
      <c r="E162" s="3"/>
      <c r="F162" s="3"/>
      <c r="G162" s="3"/>
      <c r="H162" s="3"/>
      <c r="I162" s="3"/>
      <c r="J162" s="3"/>
      <c r="K162" s="3"/>
      <c r="L162" s="3"/>
      <c r="M162" s="3"/>
      <c r="N162" s="4"/>
      <c r="O162" s="6"/>
      <c r="P162" s="6"/>
      <c r="Q162" s="6"/>
      <c r="R162" s="6"/>
      <c r="S162" s="6"/>
      <c r="T162" s="6"/>
      <c r="U162" s="6"/>
      <c r="V162" s="6"/>
      <c r="W162" s="231"/>
      <c r="X162" s="231"/>
      <c r="Y162" s="6"/>
      <c r="Z162" s="6"/>
      <c r="AA162" s="6"/>
      <c r="AB162" s="6"/>
      <c r="AC162" s="6"/>
      <c r="AD162" s="6"/>
      <c r="AE162" s="6"/>
      <c r="AF162" s="6"/>
      <c r="AG162" s="6"/>
      <c r="AH162" s="6"/>
      <c r="AI162" s="6"/>
      <c r="AJ162" s="6"/>
      <c r="AK162" s="6"/>
      <c r="AL162" s="6"/>
      <c r="AM162" s="48"/>
      <c r="AN162" s="52"/>
      <c r="AO162" s="71">
        <f t="shared" si="3"/>
        <v>0</v>
      </c>
      <c r="AP162" s="6"/>
      <c r="AQ162" s="122"/>
    </row>
    <row r="163" spans="1:43" x14ac:dyDescent="0.25">
      <c r="A163" s="3"/>
      <c r="B163" s="3"/>
      <c r="C163" s="3"/>
      <c r="D163" s="3"/>
      <c r="E163" s="3"/>
      <c r="F163" s="3"/>
      <c r="G163" s="3"/>
      <c r="H163" s="3"/>
      <c r="I163" s="3"/>
      <c r="J163" s="3"/>
      <c r="K163" s="3"/>
      <c r="L163" s="3"/>
      <c r="M163" s="3"/>
      <c r="N163" s="4"/>
      <c r="O163" s="6"/>
      <c r="P163" s="6"/>
      <c r="Q163" s="6"/>
      <c r="R163" s="6"/>
      <c r="S163" s="6"/>
      <c r="T163" s="6"/>
      <c r="U163" s="6"/>
      <c r="V163" s="6"/>
      <c r="W163" s="231"/>
      <c r="X163" s="231"/>
      <c r="Y163" s="6"/>
      <c r="Z163" s="6"/>
      <c r="AA163" s="6"/>
      <c r="AB163" s="6"/>
      <c r="AC163" s="6"/>
      <c r="AD163" s="6"/>
      <c r="AE163" s="6"/>
      <c r="AF163" s="6"/>
      <c r="AG163" s="6"/>
      <c r="AH163" s="6"/>
      <c r="AI163" s="6"/>
      <c r="AJ163" s="6"/>
      <c r="AK163" s="6"/>
      <c r="AL163" s="6"/>
      <c r="AM163" s="48"/>
      <c r="AN163" s="52"/>
      <c r="AO163" s="71">
        <f t="shared" si="3"/>
        <v>0</v>
      </c>
      <c r="AP163" s="6"/>
      <c r="AQ163" s="122"/>
    </row>
    <row r="164" spans="1:43" x14ac:dyDescent="0.25">
      <c r="A164" s="3"/>
      <c r="B164" s="3"/>
      <c r="C164" s="3"/>
      <c r="D164" s="3"/>
      <c r="E164" s="3"/>
      <c r="F164" s="3"/>
      <c r="G164" s="3"/>
      <c r="H164" s="3"/>
      <c r="I164" s="3"/>
      <c r="J164" s="3"/>
      <c r="K164" s="3"/>
      <c r="L164" s="3"/>
      <c r="M164" s="3"/>
      <c r="N164" s="4"/>
      <c r="O164" s="6"/>
      <c r="P164" s="6"/>
      <c r="Q164" s="6"/>
      <c r="R164" s="6"/>
      <c r="S164" s="6"/>
      <c r="T164" s="6"/>
      <c r="U164" s="6"/>
      <c r="V164" s="6"/>
      <c r="W164" s="231"/>
      <c r="X164" s="231"/>
      <c r="Y164" s="6"/>
      <c r="Z164" s="6"/>
      <c r="AA164" s="6"/>
      <c r="AB164" s="6"/>
      <c r="AC164" s="6"/>
      <c r="AD164" s="6"/>
      <c r="AE164" s="6"/>
      <c r="AF164" s="6"/>
      <c r="AG164" s="6"/>
      <c r="AH164" s="6"/>
      <c r="AI164" s="6"/>
      <c r="AJ164" s="6"/>
      <c r="AK164" s="6"/>
      <c r="AL164" s="6"/>
      <c r="AM164" s="48"/>
      <c r="AN164" s="52"/>
      <c r="AO164" s="71">
        <f t="shared" si="3"/>
        <v>0</v>
      </c>
      <c r="AP164" s="6"/>
      <c r="AQ164" s="122"/>
    </row>
    <row r="165" spans="1:43" x14ac:dyDescent="0.25">
      <c r="A165" s="3"/>
      <c r="B165" s="3"/>
      <c r="C165" s="3"/>
      <c r="D165" s="3"/>
      <c r="E165" s="3"/>
      <c r="F165" s="3"/>
      <c r="G165" s="3"/>
      <c r="H165" s="3"/>
      <c r="I165" s="3"/>
      <c r="J165" s="3"/>
      <c r="K165" s="3"/>
      <c r="L165" s="3"/>
      <c r="M165" s="3"/>
      <c r="N165" s="4"/>
      <c r="O165" s="6"/>
      <c r="P165" s="6"/>
      <c r="Q165" s="6"/>
      <c r="R165" s="6"/>
      <c r="S165" s="6"/>
      <c r="T165" s="6"/>
      <c r="U165" s="6"/>
      <c r="V165" s="6"/>
      <c r="W165" s="231"/>
      <c r="X165" s="231"/>
      <c r="Y165" s="6"/>
      <c r="Z165" s="6"/>
      <c r="AA165" s="6"/>
      <c r="AB165" s="6"/>
      <c r="AC165" s="6"/>
      <c r="AD165" s="6"/>
      <c r="AE165" s="6"/>
      <c r="AF165" s="6"/>
      <c r="AG165" s="6"/>
      <c r="AH165" s="6"/>
      <c r="AI165" s="6"/>
      <c r="AJ165" s="6"/>
      <c r="AK165" s="6"/>
      <c r="AL165" s="6"/>
      <c r="AM165" s="48"/>
      <c r="AN165" s="52"/>
      <c r="AO165" s="71">
        <f t="shared" si="3"/>
        <v>0</v>
      </c>
      <c r="AP165" s="6"/>
      <c r="AQ165" s="122"/>
    </row>
    <row r="166" spans="1:43" x14ac:dyDescent="0.25">
      <c r="A166" s="3"/>
      <c r="B166" s="3"/>
      <c r="C166" s="3"/>
      <c r="D166" s="3"/>
      <c r="E166" s="3"/>
      <c r="F166" s="3"/>
      <c r="G166" s="3"/>
      <c r="H166" s="3"/>
      <c r="I166" s="3"/>
      <c r="J166" s="3"/>
      <c r="K166" s="3"/>
      <c r="L166" s="3"/>
      <c r="M166" s="3"/>
      <c r="N166" s="4"/>
      <c r="O166" s="6"/>
      <c r="P166" s="6"/>
      <c r="Q166" s="6"/>
      <c r="R166" s="6"/>
      <c r="S166" s="6"/>
      <c r="T166" s="6"/>
      <c r="U166" s="6"/>
      <c r="V166" s="6"/>
      <c r="W166" s="231"/>
      <c r="X166" s="231"/>
      <c r="Y166" s="6"/>
      <c r="Z166" s="6"/>
      <c r="AA166" s="6"/>
      <c r="AB166" s="6"/>
      <c r="AC166" s="6"/>
      <c r="AD166" s="6"/>
      <c r="AE166" s="6"/>
      <c r="AF166" s="6"/>
      <c r="AG166" s="6"/>
      <c r="AH166" s="6"/>
      <c r="AI166" s="6"/>
      <c r="AJ166" s="6"/>
      <c r="AK166" s="6"/>
      <c r="AL166" s="6"/>
      <c r="AM166" s="48"/>
      <c r="AN166" s="52"/>
      <c r="AO166" s="71">
        <f t="shared" si="3"/>
        <v>0</v>
      </c>
      <c r="AP166" s="6"/>
      <c r="AQ166" s="122"/>
    </row>
    <row r="167" spans="1:43" x14ac:dyDescent="0.25">
      <c r="A167" s="3"/>
      <c r="B167" s="3"/>
      <c r="C167" s="3"/>
      <c r="D167" s="3"/>
      <c r="E167" s="3"/>
      <c r="F167" s="3"/>
      <c r="G167" s="3"/>
      <c r="H167" s="3"/>
      <c r="I167" s="3"/>
      <c r="J167" s="3"/>
      <c r="K167" s="3"/>
      <c r="L167" s="3"/>
      <c r="M167" s="3"/>
      <c r="N167" s="4"/>
      <c r="O167" s="6"/>
      <c r="P167" s="6"/>
      <c r="Q167" s="6"/>
      <c r="R167" s="6"/>
      <c r="S167" s="6"/>
      <c r="T167" s="6"/>
      <c r="U167" s="6"/>
      <c r="V167" s="6"/>
      <c r="W167" s="231"/>
      <c r="X167" s="231"/>
      <c r="Y167" s="6"/>
      <c r="Z167" s="6"/>
      <c r="AA167" s="6"/>
      <c r="AB167" s="6"/>
      <c r="AC167" s="6"/>
      <c r="AD167" s="6"/>
      <c r="AE167" s="6"/>
      <c r="AF167" s="6"/>
      <c r="AG167" s="6"/>
      <c r="AH167" s="6"/>
      <c r="AI167" s="6"/>
      <c r="AJ167" s="6"/>
      <c r="AK167" s="6"/>
      <c r="AL167" s="6"/>
      <c r="AM167" s="48"/>
      <c r="AN167" s="52"/>
      <c r="AO167" s="71">
        <f t="shared" si="3"/>
        <v>0</v>
      </c>
      <c r="AP167" s="6"/>
      <c r="AQ167" s="122"/>
    </row>
    <row r="168" spans="1:43" x14ac:dyDescent="0.25">
      <c r="A168" s="3"/>
      <c r="B168" s="3"/>
      <c r="C168" s="3"/>
      <c r="D168" s="3"/>
      <c r="E168" s="3"/>
      <c r="F168" s="3"/>
      <c r="G168" s="3"/>
      <c r="H168" s="3"/>
      <c r="I168" s="3"/>
      <c r="J168" s="3"/>
      <c r="K168" s="3"/>
      <c r="L168" s="3"/>
      <c r="M168" s="3"/>
      <c r="N168" s="4"/>
      <c r="O168" s="6"/>
      <c r="P168" s="6"/>
      <c r="Q168" s="6"/>
      <c r="R168" s="6"/>
      <c r="S168" s="6"/>
      <c r="T168" s="6"/>
      <c r="U168" s="6"/>
      <c r="V168" s="6"/>
      <c r="W168" s="231"/>
      <c r="X168" s="231"/>
      <c r="Y168" s="6"/>
      <c r="Z168" s="6"/>
      <c r="AA168" s="6"/>
      <c r="AB168" s="6"/>
      <c r="AC168" s="6"/>
      <c r="AD168" s="6"/>
      <c r="AE168" s="6"/>
      <c r="AF168" s="6"/>
      <c r="AG168" s="6"/>
      <c r="AH168" s="6"/>
      <c r="AI168" s="6"/>
      <c r="AJ168" s="6"/>
      <c r="AK168" s="6"/>
      <c r="AL168" s="6"/>
      <c r="AM168" s="48"/>
      <c r="AN168" s="52"/>
      <c r="AO168" s="71">
        <f t="shared" si="3"/>
        <v>0</v>
      </c>
      <c r="AP168" s="6"/>
      <c r="AQ168" s="122"/>
    </row>
    <row r="169" spans="1:43" x14ac:dyDescent="0.25">
      <c r="A169" s="3"/>
      <c r="B169" s="3"/>
      <c r="C169" s="3"/>
      <c r="D169" s="3"/>
      <c r="E169" s="3"/>
      <c r="F169" s="3"/>
      <c r="G169" s="3"/>
      <c r="H169" s="3"/>
      <c r="I169" s="3"/>
      <c r="J169" s="3"/>
      <c r="K169" s="3"/>
      <c r="L169" s="3"/>
      <c r="M169" s="3"/>
      <c r="N169" s="4"/>
      <c r="O169" s="6"/>
      <c r="P169" s="6"/>
      <c r="Q169" s="6"/>
      <c r="R169" s="6"/>
      <c r="S169" s="6"/>
      <c r="T169" s="6"/>
      <c r="U169" s="6"/>
      <c r="V169" s="6"/>
      <c r="W169" s="231"/>
      <c r="X169" s="231"/>
      <c r="Y169" s="6"/>
      <c r="Z169" s="6"/>
      <c r="AA169" s="6"/>
      <c r="AB169" s="6"/>
      <c r="AC169" s="6"/>
      <c r="AD169" s="6"/>
      <c r="AE169" s="6"/>
      <c r="AF169" s="6"/>
      <c r="AG169" s="6"/>
      <c r="AH169" s="6"/>
      <c r="AI169" s="6"/>
      <c r="AJ169" s="6"/>
      <c r="AK169" s="6"/>
      <c r="AL169" s="6"/>
      <c r="AM169" s="48"/>
      <c r="AN169" s="52"/>
      <c r="AO169" s="71">
        <f t="shared" si="3"/>
        <v>0</v>
      </c>
      <c r="AP169" s="6"/>
      <c r="AQ169" s="122"/>
    </row>
    <row r="170" spans="1:43" x14ac:dyDescent="0.25">
      <c r="A170" s="3"/>
      <c r="B170" s="3"/>
      <c r="C170" s="3"/>
      <c r="D170" s="3"/>
      <c r="E170" s="3"/>
      <c r="F170" s="3"/>
      <c r="G170" s="3"/>
      <c r="H170" s="3"/>
      <c r="I170" s="3"/>
      <c r="J170" s="3"/>
      <c r="K170" s="3"/>
      <c r="L170" s="3"/>
      <c r="M170" s="3"/>
      <c r="N170" s="4"/>
      <c r="O170" s="6"/>
      <c r="P170" s="6"/>
      <c r="Q170" s="6"/>
      <c r="R170" s="6"/>
      <c r="S170" s="6"/>
      <c r="T170" s="6"/>
      <c r="U170" s="6"/>
      <c r="V170" s="6"/>
      <c r="W170" s="231"/>
      <c r="X170" s="231"/>
      <c r="Y170" s="6"/>
      <c r="Z170" s="6"/>
      <c r="AA170" s="6"/>
      <c r="AB170" s="6"/>
      <c r="AC170" s="6"/>
      <c r="AD170" s="6"/>
      <c r="AE170" s="6"/>
      <c r="AF170" s="6"/>
      <c r="AG170" s="6"/>
      <c r="AH170" s="6"/>
      <c r="AI170" s="6"/>
      <c r="AJ170" s="6"/>
      <c r="AK170" s="6"/>
      <c r="AL170" s="6"/>
      <c r="AM170" s="48"/>
      <c r="AN170" s="52"/>
      <c r="AO170" s="71">
        <f t="shared" si="3"/>
        <v>0</v>
      </c>
      <c r="AP170" s="6"/>
      <c r="AQ170" s="122"/>
    </row>
    <row r="171" spans="1:43" x14ac:dyDescent="0.25">
      <c r="A171" s="3"/>
      <c r="B171" s="3"/>
      <c r="C171" s="3"/>
      <c r="D171" s="3"/>
      <c r="E171" s="3"/>
      <c r="F171" s="3"/>
      <c r="G171" s="3"/>
      <c r="H171" s="3"/>
      <c r="I171" s="3"/>
      <c r="J171" s="3"/>
      <c r="K171" s="3"/>
      <c r="L171" s="3"/>
      <c r="M171" s="3"/>
      <c r="N171" s="4"/>
      <c r="O171" s="6"/>
      <c r="P171" s="6"/>
      <c r="Q171" s="6"/>
      <c r="R171" s="6"/>
      <c r="S171" s="6"/>
      <c r="T171" s="6"/>
      <c r="U171" s="6"/>
      <c r="V171" s="6"/>
      <c r="W171" s="231"/>
      <c r="X171" s="231"/>
      <c r="Y171" s="6"/>
      <c r="Z171" s="6"/>
      <c r="AA171" s="6"/>
      <c r="AB171" s="6"/>
      <c r="AC171" s="6"/>
      <c r="AD171" s="6"/>
      <c r="AE171" s="6"/>
      <c r="AF171" s="6"/>
      <c r="AG171" s="6"/>
      <c r="AH171" s="6"/>
      <c r="AI171" s="6"/>
      <c r="AJ171" s="6"/>
      <c r="AK171" s="6"/>
      <c r="AL171" s="6"/>
      <c r="AM171" s="48"/>
      <c r="AN171" s="52"/>
      <c r="AO171" s="71">
        <f t="shared" si="3"/>
        <v>0</v>
      </c>
      <c r="AP171" s="6"/>
      <c r="AQ171" s="122"/>
    </row>
    <row r="172" spans="1:43" x14ac:dyDescent="0.25">
      <c r="A172" s="3"/>
      <c r="B172" s="3"/>
      <c r="C172" s="3"/>
      <c r="D172" s="3"/>
      <c r="E172" s="3"/>
      <c r="F172" s="3"/>
      <c r="G172" s="3"/>
      <c r="H172" s="3"/>
      <c r="I172" s="3"/>
      <c r="J172" s="3"/>
      <c r="K172" s="3"/>
      <c r="L172" s="3"/>
      <c r="M172" s="3"/>
      <c r="N172" s="4"/>
      <c r="O172" s="6"/>
      <c r="P172" s="6"/>
      <c r="Q172" s="6"/>
      <c r="R172" s="6"/>
      <c r="S172" s="6"/>
      <c r="T172" s="6"/>
      <c r="U172" s="6"/>
      <c r="V172" s="6"/>
      <c r="W172" s="231"/>
      <c r="X172" s="231"/>
      <c r="Y172" s="6"/>
      <c r="Z172" s="6"/>
      <c r="AA172" s="6"/>
      <c r="AB172" s="6"/>
      <c r="AC172" s="6"/>
      <c r="AD172" s="6"/>
      <c r="AE172" s="6"/>
      <c r="AF172" s="6"/>
      <c r="AG172" s="6"/>
      <c r="AH172" s="6"/>
      <c r="AI172" s="6"/>
      <c r="AJ172" s="6"/>
      <c r="AK172" s="6"/>
      <c r="AL172" s="6"/>
      <c r="AM172" s="48"/>
      <c r="AN172" s="52"/>
      <c r="AO172" s="71">
        <f t="shared" si="3"/>
        <v>0</v>
      </c>
      <c r="AP172" s="6"/>
      <c r="AQ172" s="122"/>
    </row>
    <row r="173" spans="1:43" x14ac:dyDescent="0.25">
      <c r="A173" s="3"/>
      <c r="B173" s="3"/>
      <c r="C173" s="3"/>
      <c r="D173" s="3"/>
      <c r="E173" s="3"/>
      <c r="F173" s="3"/>
      <c r="G173" s="3"/>
      <c r="H173" s="3"/>
      <c r="I173" s="3"/>
      <c r="J173" s="3"/>
      <c r="K173" s="3"/>
      <c r="L173" s="3"/>
      <c r="M173" s="3"/>
      <c r="N173" s="4"/>
      <c r="O173" s="6"/>
      <c r="P173" s="6"/>
      <c r="Q173" s="6"/>
      <c r="R173" s="6"/>
      <c r="S173" s="6"/>
      <c r="T173" s="6"/>
      <c r="U173" s="6"/>
      <c r="V173" s="6"/>
      <c r="W173" s="231"/>
      <c r="X173" s="231"/>
      <c r="Y173" s="6"/>
      <c r="Z173" s="6"/>
      <c r="AA173" s="6"/>
      <c r="AB173" s="6"/>
      <c r="AC173" s="6"/>
      <c r="AD173" s="6"/>
      <c r="AE173" s="6"/>
      <c r="AF173" s="6"/>
      <c r="AG173" s="6"/>
      <c r="AH173" s="6"/>
      <c r="AI173" s="6"/>
      <c r="AJ173" s="6"/>
      <c r="AK173" s="6"/>
      <c r="AL173" s="6"/>
      <c r="AM173" s="48"/>
      <c r="AN173" s="52"/>
      <c r="AO173" s="71">
        <f t="shared" si="3"/>
        <v>0</v>
      </c>
      <c r="AP173" s="6"/>
      <c r="AQ173" s="122"/>
    </row>
    <row r="174" spans="1:43" x14ac:dyDescent="0.25">
      <c r="A174" s="3"/>
      <c r="B174" s="3"/>
      <c r="C174" s="3"/>
      <c r="D174" s="3"/>
      <c r="E174" s="3"/>
      <c r="F174" s="3"/>
      <c r="G174" s="3"/>
      <c r="H174" s="3"/>
      <c r="I174" s="3"/>
      <c r="J174" s="3"/>
      <c r="K174" s="3"/>
      <c r="L174" s="3"/>
      <c r="M174" s="3"/>
      <c r="N174" s="4"/>
      <c r="O174" s="6"/>
      <c r="P174" s="6"/>
      <c r="Q174" s="6"/>
      <c r="R174" s="6"/>
      <c r="S174" s="6"/>
      <c r="T174" s="6"/>
      <c r="U174" s="6"/>
      <c r="V174" s="6"/>
      <c r="W174" s="231"/>
      <c r="X174" s="231"/>
      <c r="Y174" s="6"/>
      <c r="Z174" s="6"/>
      <c r="AA174" s="6"/>
      <c r="AB174" s="6"/>
      <c r="AC174" s="6"/>
      <c r="AD174" s="6"/>
      <c r="AE174" s="6"/>
      <c r="AF174" s="6"/>
      <c r="AG174" s="6"/>
      <c r="AH174" s="6"/>
      <c r="AI174" s="6"/>
      <c r="AJ174" s="6"/>
      <c r="AK174" s="6"/>
      <c r="AL174" s="6"/>
      <c r="AM174" s="48"/>
      <c r="AN174" s="52"/>
      <c r="AO174" s="71">
        <f t="shared" si="3"/>
        <v>0</v>
      </c>
      <c r="AP174" s="6"/>
      <c r="AQ174" s="122"/>
    </row>
    <row r="175" spans="1:43" x14ac:dyDescent="0.25">
      <c r="A175" s="3"/>
      <c r="B175" s="3"/>
      <c r="C175" s="3"/>
      <c r="D175" s="3"/>
      <c r="E175" s="3"/>
      <c r="F175" s="3"/>
      <c r="G175" s="3"/>
      <c r="H175" s="3"/>
      <c r="I175" s="3"/>
      <c r="J175" s="3"/>
      <c r="K175" s="3"/>
      <c r="L175" s="3"/>
      <c r="M175" s="3"/>
      <c r="N175" s="4"/>
      <c r="O175" s="6"/>
      <c r="P175" s="6"/>
      <c r="Q175" s="6"/>
      <c r="R175" s="6"/>
      <c r="S175" s="6"/>
      <c r="T175" s="6"/>
      <c r="U175" s="6"/>
      <c r="V175" s="6"/>
      <c r="W175" s="231"/>
      <c r="X175" s="231"/>
      <c r="Y175" s="6"/>
      <c r="Z175" s="6"/>
      <c r="AA175" s="6"/>
      <c r="AB175" s="6"/>
      <c r="AC175" s="6"/>
      <c r="AD175" s="6"/>
      <c r="AE175" s="6"/>
      <c r="AF175" s="6"/>
      <c r="AG175" s="6"/>
      <c r="AH175" s="6"/>
      <c r="AI175" s="6"/>
      <c r="AJ175" s="6"/>
      <c r="AK175" s="6"/>
      <c r="AL175" s="6"/>
      <c r="AM175" s="48"/>
      <c r="AN175" s="52"/>
      <c r="AO175" s="71">
        <f t="shared" si="3"/>
        <v>0</v>
      </c>
      <c r="AP175" s="6"/>
      <c r="AQ175" s="122"/>
    </row>
    <row r="176" spans="1:43" x14ac:dyDescent="0.25">
      <c r="A176" s="3"/>
      <c r="B176" s="3"/>
      <c r="C176" s="3"/>
      <c r="D176" s="3"/>
      <c r="E176" s="3"/>
      <c r="F176" s="3"/>
      <c r="G176" s="3"/>
      <c r="H176" s="3"/>
      <c r="I176" s="3"/>
      <c r="J176" s="3"/>
      <c r="K176" s="3"/>
      <c r="L176" s="3"/>
      <c r="M176" s="3"/>
      <c r="N176" s="4"/>
      <c r="O176" s="6"/>
      <c r="P176" s="6"/>
      <c r="Q176" s="6"/>
      <c r="R176" s="6"/>
      <c r="S176" s="6"/>
      <c r="T176" s="6"/>
      <c r="U176" s="6"/>
      <c r="V176" s="6"/>
      <c r="W176" s="231"/>
      <c r="X176" s="231"/>
      <c r="Y176" s="6"/>
      <c r="Z176" s="6"/>
      <c r="AA176" s="6"/>
      <c r="AB176" s="6"/>
      <c r="AC176" s="6"/>
      <c r="AD176" s="6"/>
      <c r="AE176" s="6"/>
      <c r="AF176" s="6"/>
      <c r="AG176" s="6"/>
      <c r="AH176" s="6"/>
      <c r="AI176" s="6"/>
      <c r="AJ176" s="6"/>
      <c r="AK176" s="6"/>
      <c r="AL176" s="6"/>
      <c r="AM176" s="48"/>
      <c r="AN176" s="52"/>
      <c r="AO176" s="71">
        <f t="shared" si="3"/>
        <v>0</v>
      </c>
      <c r="AP176" s="6"/>
      <c r="AQ176" s="122"/>
    </row>
    <row r="177" spans="1:43" x14ac:dyDescent="0.25">
      <c r="A177" s="3"/>
      <c r="B177" s="3"/>
      <c r="C177" s="3"/>
      <c r="D177" s="3"/>
      <c r="E177" s="3"/>
      <c r="F177" s="3"/>
      <c r="G177" s="3"/>
      <c r="H177" s="3"/>
      <c r="I177" s="3"/>
      <c r="J177" s="3"/>
      <c r="K177" s="3"/>
      <c r="L177" s="3"/>
      <c r="M177" s="3"/>
      <c r="N177" s="4"/>
      <c r="O177" s="6"/>
      <c r="P177" s="6"/>
      <c r="Q177" s="6"/>
      <c r="R177" s="6"/>
      <c r="S177" s="6"/>
      <c r="T177" s="6"/>
      <c r="U177" s="6"/>
      <c r="V177" s="6"/>
      <c r="W177" s="231"/>
      <c r="X177" s="231"/>
      <c r="Y177" s="6"/>
      <c r="Z177" s="6"/>
      <c r="AA177" s="6"/>
      <c r="AB177" s="6"/>
      <c r="AC177" s="6"/>
      <c r="AD177" s="6"/>
      <c r="AE177" s="6"/>
      <c r="AF177" s="6"/>
      <c r="AG177" s="6"/>
      <c r="AH177" s="6"/>
      <c r="AI177" s="6"/>
      <c r="AJ177" s="6"/>
      <c r="AK177" s="6"/>
      <c r="AL177" s="6"/>
      <c r="AM177" s="48"/>
      <c r="AN177" s="52"/>
      <c r="AO177" s="71">
        <f t="shared" si="3"/>
        <v>0</v>
      </c>
      <c r="AP177" s="6"/>
      <c r="AQ177" s="122"/>
    </row>
    <row r="178" spans="1:43" x14ac:dyDescent="0.25">
      <c r="A178" s="3"/>
      <c r="B178" s="3"/>
      <c r="C178" s="3"/>
      <c r="D178" s="3"/>
      <c r="E178" s="3"/>
      <c r="F178" s="3"/>
      <c r="G178" s="3"/>
      <c r="H178" s="3"/>
      <c r="I178" s="3"/>
      <c r="J178" s="3"/>
      <c r="K178" s="3"/>
      <c r="L178" s="3"/>
      <c r="M178" s="3"/>
      <c r="N178" s="28"/>
      <c r="O178" s="6"/>
      <c r="P178" s="6"/>
      <c r="Q178" s="11"/>
      <c r="R178" s="6"/>
      <c r="S178" s="6"/>
      <c r="T178" s="6"/>
      <c r="U178" s="6"/>
      <c r="V178" s="6"/>
      <c r="W178" s="231"/>
      <c r="X178" s="231"/>
      <c r="Y178" s="6"/>
      <c r="Z178" s="6"/>
      <c r="AA178" s="6"/>
      <c r="AB178" s="6"/>
      <c r="AC178" s="6"/>
      <c r="AD178" s="6"/>
      <c r="AE178" s="6"/>
      <c r="AF178" s="6"/>
      <c r="AG178" s="6"/>
      <c r="AH178" s="6"/>
      <c r="AI178" s="6"/>
      <c r="AJ178" s="6"/>
      <c r="AK178" s="6"/>
      <c r="AL178" s="6"/>
      <c r="AM178" s="48"/>
      <c r="AN178" s="52"/>
      <c r="AO178" s="52"/>
      <c r="AP178" s="6"/>
      <c r="AQ178" s="122"/>
    </row>
    <row r="179" spans="1:43" x14ac:dyDescent="0.25">
      <c r="A179" s="3"/>
      <c r="B179" s="3"/>
      <c r="C179" s="3"/>
      <c r="D179" s="3"/>
      <c r="E179" s="3"/>
      <c r="F179" s="3"/>
      <c r="G179" s="3"/>
      <c r="H179" s="3"/>
      <c r="I179" s="3"/>
      <c r="J179" s="3"/>
      <c r="K179" s="3"/>
      <c r="L179" s="3"/>
      <c r="M179" s="3"/>
      <c r="N179" s="28"/>
      <c r="O179" s="6"/>
      <c r="P179" s="6"/>
      <c r="Q179" s="11"/>
      <c r="R179" s="6"/>
      <c r="S179" s="6"/>
      <c r="T179" s="6"/>
      <c r="U179" s="6"/>
      <c r="V179" s="6"/>
      <c r="W179" s="231"/>
      <c r="X179" s="231"/>
      <c r="Y179" s="6"/>
      <c r="Z179" s="6"/>
      <c r="AA179" s="6"/>
      <c r="AB179" s="6"/>
      <c r="AC179" s="6"/>
      <c r="AD179" s="6"/>
      <c r="AE179" s="6"/>
      <c r="AF179" s="6"/>
      <c r="AG179" s="6"/>
      <c r="AH179" s="6"/>
      <c r="AI179" s="6"/>
      <c r="AJ179" s="6"/>
      <c r="AK179" s="6"/>
      <c r="AL179" s="6"/>
      <c r="AM179" s="48"/>
      <c r="AN179" s="52"/>
      <c r="AO179" s="52"/>
      <c r="AP179" s="6"/>
      <c r="AQ179" s="122"/>
    </row>
    <row r="180" spans="1:43" x14ac:dyDescent="0.25">
      <c r="A180" s="3"/>
      <c r="B180" s="3"/>
      <c r="C180" s="3"/>
      <c r="D180" s="3"/>
      <c r="E180" s="3"/>
      <c r="F180" s="3"/>
      <c r="G180" s="3"/>
      <c r="H180" s="3"/>
      <c r="I180" s="3"/>
      <c r="J180" s="3"/>
      <c r="K180" s="3"/>
      <c r="L180" s="3"/>
      <c r="M180" s="3"/>
      <c r="N180" s="28"/>
      <c r="O180" s="6"/>
      <c r="P180" s="6"/>
      <c r="Q180" s="11"/>
      <c r="R180" s="6"/>
      <c r="S180" s="6"/>
      <c r="T180" s="6"/>
      <c r="U180" s="6"/>
      <c r="V180" s="6"/>
      <c r="W180" s="231"/>
      <c r="X180" s="231"/>
      <c r="Y180" s="6"/>
      <c r="Z180" s="6"/>
      <c r="AA180" s="6"/>
      <c r="AB180" s="6"/>
      <c r="AC180" s="6"/>
      <c r="AD180" s="6"/>
      <c r="AE180" s="6"/>
      <c r="AF180" s="6"/>
      <c r="AG180" s="6"/>
      <c r="AH180" s="6"/>
      <c r="AI180" s="6"/>
      <c r="AJ180" s="6"/>
      <c r="AK180" s="6"/>
      <c r="AL180" s="6"/>
      <c r="AM180" s="48"/>
      <c r="AN180" s="52"/>
      <c r="AO180" s="52"/>
      <c r="AP180" s="6"/>
      <c r="AQ180" s="122"/>
    </row>
    <row r="181" spans="1:43" x14ac:dyDescent="0.25">
      <c r="A181" s="3"/>
      <c r="B181" s="3"/>
      <c r="C181" s="3"/>
      <c r="D181" s="3"/>
      <c r="E181" s="3"/>
      <c r="F181" s="3"/>
      <c r="G181" s="3"/>
      <c r="H181" s="3"/>
      <c r="I181" s="3"/>
      <c r="J181" s="3"/>
      <c r="K181" s="3"/>
      <c r="L181" s="3"/>
      <c r="M181" s="3"/>
      <c r="N181" s="28"/>
      <c r="O181" s="6"/>
      <c r="P181" s="6"/>
      <c r="Q181" s="11"/>
      <c r="R181" s="6"/>
      <c r="S181" s="6"/>
      <c r="T181" s="6"/>
      <c r="U181" s="6"/>
      <c r="V181" s="6"/>
      <c r="W181" s="231"/>
      <c r="X181" s="231"/>
      <c r="Y181" s="6"/>
      <c r="Z181" s="6"/>
      <c r="AA181" s="6"/>
      <c r="AB181" s="6"/>
      <c r="AC181" s="6"/>
      <c r="AD181" s="6"/>
      <c r="AE181" s="6"/>
      <c r="AF181" s="6"/>
      <c r="AG181" s="6"/>
      <c r="AH181" s="6"/>
      <c r="AI181" s="6"/>
      <c r="AJ181" s="6"/>
      <c r="AK181" s="6"/>
      <c r="AL181" s="6"/>
      <c r="AM181" s="48"/>
      <c r="AN181" s="52"/>
      <c r="AO181" s="52"/>
      <c r="AP181" s="6"/>
      <c r="AQ181" s="122"/>
    </row>
    <row r="182" spans="1:43" x14ac:dyDescent="0.25">
      <c r="A182" s="3"/>
      <c r="B182" s="3"/>
      <c r="C182" s="3"/>
      <c r="D182" s="3"/>
      <c r="E182" s="3"/>
      <c r="F182" s="3"/>
      <c r="G182" s="3"/>
      <c r="H182" s="3"/>
      <c r="I182" s="3"/>
      <c r="J182" s="3"/>
      <c r="K182" s="3"/>
      <c r="L182" s="3"/>
      <c r="M182" s="3"/>
      <c r="N182" s="28"/>
      <c r="O182" s="6"/>
      <c r="P182" s="6"/>
      <c r="Q182" s="11"/>
      <c r="R182" s="6"/>
      <c r="S182" s="6"/>
      <c r="T182" s="6"/>
      <c r="U182" s="6"/>
      <c r="V182" s="6"/>
      <c r="W182" s="231"/>
      <c r="X182" s="231"/>
      <c r="Y182" s="6"/>
      <c r="Z182" s="6"/>
      <c r="AA182" s="6"/>
      <c r="AB182" s="6"/>
      <c r="AC182" s="6"/>
      <c r="AD182" s="6"/>
      <c r="AE182" s="6"/>
      <c r="AF182" s="6"/>
      <c r="AG182" s="6"/>
      <c r="AH182" s="6"/>
      <c r="AI182" s="6"/>
      <c r="AJ182" s="6"/>
      <c r="AK182" s="6"/>
      <c r="AL182" s="6"/>
      <c r="AM182" s="48"/>
      <c r="AN182" s="52"/>
      <c r="AO182" s="52"/>
      <c r="AP182" s="6"/>
      <c r="AQ182" s="122"/>
    </row>
    <row r="183" spans="1:43" x14ac:dyDescent="0.25">
      <c r="A183" s="3"/>
      <c r="B183" s="3"/>
      <c r="C183" s="3"/>
      <c r="D183" s="3"/>
      <c r="E183" s="3"/>
      <c r="F183" s="3"/>
      <c r="G183" s="3"/>
      <c r="H183" s="3"/>
      <c r="I183" s="3"/>
      <c r="J183" s="3"/>
      <c r="K183" s="3"/>
      <c r="L183" s="3"/>
      <c r="M183" s="3"/>
      <c r="N183" s="28"/>
      <c r="O183" s="6"/>
      <c r="P183" s="6"/>
      <c r="Q183" s="11"/>
      <c r="R183" s="6"/>
      <c r="S183" s="6"/>
      <c r="T183" s="6"/>
      <c r="U183" s="6"/>
      <c r="V183" s="6"/>
      <c r="W183" s="231"/>
      <c r="X183" s="231"/>
      <c r="Y183" s="6"/>
      <c r="Z183" s="6"/>
      <c r="AA183" s="6"/>
      <c r="AB183" s="6"/>
      <c r="AC183" s="6"/>
      <c r="AD183" s="6"/>
      <c r="AE183" s="6"/>
      <c r="AF183" s="6"/>
      <c r="AG183" s="6"/>
      <c r="AH183" s="6"/>
      <c r="AI183" s="6"/>
      <c r="AJ183" s="6"/>
      <c r="AK183" s="6"/>
      <c r="AL183" s="6"/>
      <c r="AM183" s="48"/>
      <c r="AN183" s="52"/>
      <c r="AO183" s="52"/>
      <c r="AP183" s="6"/>
      <c r="AQ183" s="122"/>
    </row>
    <row r="184" spans="1:43" x14ac:dyDescent="0.25">
      <c r="A184" s="3"/>
      <c r="B184" s="3"/>
      <c r="C184" s="3"/>
      <c r="D184" s="3"/>
      <c r="E184" s="3"/>
      <c r="F184" s="3"/>
      <c r="G184" s="3"/>
      <c r="H184" s="3"/>
      <c r="I184" s="3"/>
      <c r="J184" s="3"/>
      <c r="K184" s="3"/>
      <c r="L184" s="3"/>
      <c r="M184" s="3"/>
      <c r="N184" s="28"/>
      <c r="O184" s="6"/>
      <c r="P184" s="6"/>
      <c r="Q184" s="11"/>
      <c r="R184" s="6"/>
      <c r="S184" s="6"/>
      <c r="T184" s="6"/>
      <c r="U184" s="6"/>
      <c r="V184" s="6"/>
      <c r="W184" s="231"/>
      <c r="X184" s="231"/>
      <c r="Y184" s="6"/>
      <c r="Z184" s="6"/>
      <c r="AA184" s="6"/>
      <c r="AB184" s="6"/>
      <c r="AC184" s="6"/>
      <c r="AD184" s="6"/>
      <c r="AE184" s="6"/>
      <c r="AF184" s="6"/>
      <c r="AG184" s="6"/>
      <c r="AH184" s="6"/>
      <c r="AI184" s="6"/>
      <c r="AJ184" s="6"/>
      <c r="AK184" s="6"/>
      <c r="AL184" s="6"/>
      <c r="AM184" s="48"/>
      <c r="AN184" s="52"/>
      <c r="AO184" s="52"/>
      <c r="AP184" s="6"/>
      <c r="AQ184" s="122"/>
    </row>
    <row r="185" spans="1:43" x14ac:dyDescent="0.25">
      <c r="A185" s="3"/>
      <c r="B185" s="3"/>
      <c r="C185" s="3"/>
      <c r="D185" s="3"/>
      <c r="E185" s="3"/>
      <c r="F185" s="3"/>
      <c r="G185" s="3"/>
      <c r="H185" s="3"/>
      <c r="I185" s="3"/>
      <c r="J185" s="3"/>
      <c r="K185" s="3"/>
      <c r="L185" s="3"/>
      <c r="M185" s="3"/>
      <c r="N185" s="28"/>
      <c r="O185" s="6"/>
      <c r="P185" s="6"/>
      <c r="Q185" s="11"/>
      <c r="R185" s="6"/>
      <c r="S185" s="6"/>
      <c r="T185" s="6"/>
      <c r="U185" s="6"/>
      <c r="V185" s="6"/>
      <c r="W185" s="231"/>
      <c r="X185" s="231"/>
      <c r="Y185" s="6"/>
      <c r="Z185" s="6"/>
      <c r="AA185" s="6"/>
      <c r="AB185" s="6"/>
      <c r="AC185" s="6"/>
      <c r="AD185" s="6"/>
      <c r="AE185" s="6"/>
      <c r="AF185" s="6"/>
      <c r="AG185" s="6"/>
      <c r="AH185" s="6"/>
      <c r="AI185" s="6"/>
      <c r="AJ185" s="6"/>
      <c r="AK185" s="6"/>
      <c r="AL185" s="6"/>
      <c r="AM185" s="48"/>
      <c r="AN185" s="52"/>
      <c r="AO185" s="52"/>
      <c r="AP185" s="6"/>
      <c r="AQ185" s="122"/>
    </row>
    <row r="186" spans="1:43" x14ac:dyDescent="0.25">
      <c r="A186" s="3"/>
      <c r="B186" s="3"/>
      <c r="C186" s="3"/>
      <c r="D186" s="3"/>
      <c r="E186" s="3"/>
      <c r="F186" s="3"/>
      <c r="G186" s="3"/>
      <c r="H186" s="3"/>
      <c r="I186" s="3"/>
      <c r="J186" s="3"/>
      <c r="K186" s="3"/>
      <c r="L186" s="3"/>
      <c r="M186" s="3"/>
      <c r="N186" s="28"/>
      <c r="O186" s="6"/>
      <c r="P186" s="6"/>
      <c r="Q186" s="11"/>
      <c r="R186" s="6"/>
      <c r="S186" s="6"/>
      <c r="T186" s="6"/>
      <c r="U186" s="6"/>
      <c r="V186" s="6"/>
      <c r="W186" s="231"/>
      <c r="X186" s="231"/>
      <c r="Y186" s="6"/>
      <c r="Z186" s="6"/>
      <c r="AA186" s="6"/>
      <c r="AB186" s="6"/>
      <c r="AC186" s="6"/>
      <c r="AD186" s="6"/>
      <c r="AE186" s="6"/>
      <c r="AF186" s="6"/>
      <c r="AG186" s="6"/>
      <c r="AH186" s="6"/>
      <c r="AI186" s="6"/>
      <c r="AJ186" s="6"/>
      <c r="AK186" s="6"/>
      <c r="AL186" s="6"/>
      <c r="AM186" s="48"/>
      <c r="AN186" s="52"/>
      <c r="AO186" s="52"/>
      <c r="AP186" s="6"/>
      <c r="AQ186" s="122"/>
    </row>
    <row r="187" spans="1:43" x14ac:dyDescent="0.25">
      <c r="A187" s="3"/>
      <c r="B187" s="3"/>
      <c r="C187" s="3"/>
      <c r="D187" s="3"/>
      <c r="E187" s="3"/>
      <c r="F187" s="3"/>
      <c r="G187" s="3"/>
      <c r="H187" s="3"/>
      <c r="I187" s="3"/>
      <c r="J187" s="3"/>
      <c r="K187" s="3"/>
      <c r="L187" s="3"/>
      <c r="M187" s="3"/>
      <c r="N187" s="28"/>
      <c r="O187" s="6"/>
      <c r="P187" s="6"/>
      <c r="Q187" s="11"/>
      <c r="R187" s="6"/>
      <c r="S187" s="6"/>
      <c r="T187" s="6"/>
      <c r="U187" s="6"/>
      <c r="V187" s="6"/>
      <c r="W187" s="231"/>
      <c r="X187" s="231"/>
      <c r="Y187" s="6"/>
      <c r="Z187" s="6"/>
      <c r="AA187" s="6"/>
      <c r="AB187" s="6"/>
      <c r="AC187" s="6"/>
      <c r="AD187" s="6"/>
      <c r="AE187" s="6"/>
      <c r="AF187" s="6"/>
      <c r="AG187" s="6"/>
      <c r="AH187" s="6"/>
      <c r="AI187" s="6"/>
      <c r="AJ187" s="6"/>
      <c r="AK187" s="6"/>
      <c r="AL187" s="6"/>
      <c r="AM187" s="48"/>
      <c r="AN187" s="52"/>
      <c r="AO187" s="52"/>
      <c r="AP187" s="6"/>
      <c r="AQ187" s="122"/>
    </row>
    <row r="188" spans="1:43" x14ac:dyDescent="0.25">
      <c r="A188" s="3"/>
      <c r="B188" s="3"/>
      <c r="C188" s="3"/>
      <c r="D188" s="3"/>
      <c r="E188" s="3"/>
      <c r="F188" s="3"/>
      <c r="G188" s="3"/>
      <c r="H188" s="3"/>
      <c r="I188" s="3"/>
      <c r="J188" s="3"/>
      <c r="K188" s="3"/>
      <c r="L188" s="3"/>
      <c r="M188" s="3"/>
      <c r="N188" s="28"/>
      <c r="O188" s="6"/>
      <c r="P188" s="6"/>
      <c r="Q188" s="11"/>
      <c r="R188" s="6"/>
      <c r="S188" s="6"/>
      <c r="T188" s="6"/>
      <c r="U188" s="6"/>
      <c r="V188" s="6"/>
      <c r="W188" s="231"/>
      <c r="X188" s="231"/>
      <c r="Y188" s="6"/>
      <c r="Z188" s="6"/>
      <c r="AA188" s="6"/>
      <c r="AB188" s="6"/>
      <c r="AC188" s="6"/>
      <c r="AD188" s="6"/>
      <c r="AE188" s="6"/>
      <c r="AF188" s="6"/>
      <c r="AG188" s="6"/>
      <c r="AH188" s="6"/>
      <c r="AI188" s="6"/>
      <c r="AJ188" s="6"/>
      <c r="AK188" s="6"/>
      <c r="AL188" s="6"/>
      <c r="AM188" s="48"/>
      <c r="AN188" s="52"/>
      <c r="AO188" s="52"/>
      <c r="AP188" s="6"/>
      <c r="AQ188" s="122"/>
    </row>
    <row r="189" spans="1:43" x14ac:dyDescent="0.25">
      <c r="A189" s="3"/>
      <c r="B189" s="3"/>
      <c r="C189" s="3"/>
      <c r="D189" s="3"/>
      <c r="E189" s="3"/>
      <c r="F189" s="3"/>
      <c r="G189" s="3"/>
      <c r="H189" s="3"/>
      <c r="I189" s="3"/>
      <c r="J189" s="3"/>
      <c r="K189" s="3"/>
      <c r="L189" s="3"/>
      <c r="M189" s="3"/>
      <c r="N189" s="28"/>
      <c r="O189" s="6"/>
      <c r="P189" s="6"/>
      <c r="Q189" s="11"/>
      <c r="R189" s="6"/>
      <c r="S189" s="6"/>
      <c r="T189" s="6"/>
      <c r="U189" s="6"/>
      <c r="V189" s="6"/>
      <c r="W189" s="231"/>
      <c r="X189" s="231"/>
      <c r="Y189" s="6"/>
      <c r="Z189" s="6"/>
      <c r="AA189" s="6"/>
      <c r="AB189" s="6"/>
      <c r="AC189" s="6"/>
      <c r="AD189" s="6"/>
      <c r="AE189" s="6"/>
      <c r="AF189" s="6"/>
      <c r="AG189" s="6"/>
      <c r="AH189" s="6"/>
      <c r="AI189" s="6"/>
      <c r="AJ189" s="6"/>
      <c r="AK189" s="6"/>
      <c r="AL189" s="6"/>
      <c r="AM189" s="48"/>
      <c r="AN189" s="52"/>
      <c r="AO189" s="52"/>
      <c r="AP189" s="6"/>
      <c r="AQ189" s="122"/>
    </row>
    <row r="190" spans="1:43" x14ac:dyDescent="0.25">
      <c r="A190" s="3"/>
      <c r="B190" s="3"/>
      <c r="C190" s="3"/>
      <c r="D190" s="3"/>
      <c r="E190" s="3"/>
      <c r="F190" s="3"/>
      <c r="G190" s="3"/>
      <c r="H190" s="3"/>
      <c r="I190" s="3"/>
      <c r="J190" s="3"/>
      <c r="K190" s="3"/>
      <c r="L190" s="3"/>
      <c r="M190" s="3"/>
      <c r="N190" s="28"/>
      <c r="O190" s="6"/>
      <c r="P190" s="6"/>
      <c r="Q190" s="11"/>
      <c r="R190" s="6"/>
      <c r="S190" s="6"/>
      <c r="T190" s="6"/>
      <c r="U190" s="6"/>
      <c r="V190" s="6"/>
      <c r="W190" s="231"/>
      <c r="X190" s="231"/>
      <c r="Y190" s="6"/>
      <c r="Z190" s="6"/>
      <c r="AA190" s="6"/>
      <c r="AB190" s="6"/>
      <c r="AC190" s="6"/>
      <c r="AD190" s="6"/>
      <c r="AE190" s="6"/>
      <c r="AF190" s="6"/>
      <c r="AG190" s="6"/>
      <c r="AH190" s="6"/>
      <c r="AI190" s="6"/>
      <c r="AJ190" s="6"/>
      <c r="AK190" s="6"/>
      <c r="AL190" s="6"/>
      <c r="AM190" s="48"/>
      <c r="AN190" s="52"/>
      <c r="AO190" s="52"/>
      <c r="AP190" s="6"/>
      <c r="AQ190" s="122"/>
    </row>
    <row r="191" spans="1:43" x14ac:dyDescent="0.25">
      <c r="A191" s="3"/>
      <c r="B191" s="3"/>
      <c r="C191" s="3"/>
      <c r="D191" s="3"/>
      <c r="E191" s="3"/>
      <c r="F191" s="3"/>
      <c r="G191" s="3"/>
      <c r="H191" s="3"/>
      <c r="I191" s="3"/>
      <c r="J191" s="3"/>
      <c r="K191" s="3"/>
      <c r="L191" s="3"/>
      <c r="M191" s="3"/>
      <c r="N191" s="28"/>
      <c r="O191" s="6"/>
      <c r="P191" s="6"/>
      <c r="Q191" s="11"/>
      <c r="R191" s="6"/>
      <c r="S191" s="6"/>
      <c r="T191" s="6"/>
      <c r="U191" s="6"/>
      <c r="V191" s="6"/>
      <c r="W191" s="231"/>
      <c r="X191" s="231"/>
      <c r="Y191" s="6"/>
      <c r="Z191" s="6"/>
      <c r="AA191" s="6"/>
      <c r="AB191" s="6"/>
      <c r="AC191" s="6"/>
      <c r="AD191" s="6"/>
      <c r="AE191" s="6"/>
      <c r="AF191" s="6"/>
      <c r="AG191" s="6"/>
      <c r="AH191" s="6"/>
      <c r="AI191" s="6"/>
      <c r="AJ191" s="6"/>
      <c r="AK191" s="6"/>
      <c r="AL191" s="6"/>
      <c r="AM191" s="48"/>
      <c r="AN191" s="52"/>
      <c r="AO191" s="52"/>
      <c r="AP191" s="6"/>
      <c r="AQ191" s="122"/>
    </row>
    <row r="192" spans="1:43" x14ac:dyDescent="0.25">
      <c r="A192" s="3"/>
      <c r="B192" s="3"/>
      <c r="C192" s="3"/>
      <c r="D192" s="3"/>
      <c r="E192" s="3"/>
      <c r="F192" s="3"/>
      <c r="G192" s="3"/>
      <c r="H192" s="3"/>
      <c r="I192" s="3"/>
      <c r="J192" s="3"/>
      <c r="K192" s="3"/>
      <c r="L192" s="3"/>
      <c r="M192" s="3"/>
      <c r="N192" s="28"/>
      <c r="O192" s="6"/>
      <c r="P192" s="6"/>
      <c r="Q192" s="11"/>
      <c r="R192" s="6"/>
      <c r="S192" s="6"/>
      <c r="T192" s="6"/>
      <c r="U192" s="6"/>
      <c r="V192" s="6"/>
      <c r="W192" s="231"/>
      <c r="X192" s="231"/>
      <c r="Y192" s="6"/>
      <c r="Z192" s="6"/>
      <c r="AA192" s="6"/>
      <c r="AB192" s="6"/>
      <c r="AC192" s="6"/>
      <c r="AD192" s="6"/>
      <c r="AE192" s="6"/>
      <c r="AF192" s="6"/>
      <c r="AG192" s="6"/>
      <c r="AH192" s="6"/>
      <c r="AI192" s="6"/>
      <c r="AJ192" s="6"/>
      <c r="AK192" s="6"/>
      <c r="AL192" s="6"/>
      <c r="AM192" s="48"/>
      <c r="AN192" s="52"/>
      <c r="AO192" s="52"/>
      <c r="AP192" s="6"/>
      <c r="AQ192" s="122"/>
    </row>
    <row r="193" spans="1:43" x14ac:dyDescent="0.25">
      <c r="A193" s="3"/>
      <c r="B193" s="3"/>
      <c r="C193" s="3"/>
      <c r="D193" s="3"/>
      <c r="E193" s="3"/>
      <c r="F193" s="3"/>
      <c r="G193" s="3"/>
      <c r="H193" s="3"/>
      <c r="I193" s="3"/>
      <c r="J193" s="3"/>
      <c r="K193" s="3"/>
      <c r="L193" s="3"/>
      <c r="M193" s="3"/>
      <c r="N193" s="28"/>
      <c r="O193" s="6"/>
      <c r="P193" s="6"/>
      <c r="Q193" s="11"/>
      <c r="R193" s="6"/>
      <c r="S193" s="6"/>
      <c r="T193" s="6"/>
      <c r="U193" s="6"/>
      <c r="V193" s="6"/>
      <c r="W193" s="231"/>
      <c r="X193" s="231"/>
      <c r="Y193" s="6"/>
      <c r="Z193" s="6"/>
      <c r="AA193" s="6"/>
      <c r="AB193" s="6"/>
      <c r="AC193" s="6"/>
      <c r="AD193" s="6"/>
      <c r="AE193" s="6"/>
      <c r="AF193" s="6"/>
      <c r="AG193" s="6"/>
      <c r="AH193" s="6"/>
      <c r="AI193" s="6"/>
      <c r="AJ193" s="6"/>
      <c r="AK193" s="6"/>
      <c r="AL193" s="6"/>
      <c r="AM193" s="48"/>
      <c r="AN193" s="52"/>
      <c r="AO193" s="52"/>
      <c r="AP193" s="6"/>
      <c r="AQ193" s="122"/>
    </row>
    <row r="194" spans="1:43" x14ac:dyDescent="0.25">
      <c r="A194" s="3"/>
      <c r="B194" s="3"/>
      <c r="C194" s="3"/>
      <c r="D194" s="3"/>
      <c r="E194" s="3"/>
      <c r="F194" s="3"/>
      <c r="G194" s="3"/>
      <c r="H194" s="3"/>
      <c r="I194" s="3"/>
      <c r="J194" s="3"/>
      <c r="K194" s="3"/>
      <c r="L194" s="3"/>
      <c r="M194" s="3"/>
      <c r="N194" s="28"/>
      <c r="O194" s="6"/>
      <c r="P194" s="6"/>
      <c r="Q194" s="11"/>
      <c r="R194" s="6"/>
      <c r="S194" s="6"/>
      <c r="T194" s="6"/>
      <c r="U194" s="6"/>
      <c r="V194" s="6"/>
      <c r="W194" s="231"/>
      <c r="X194" s="231"/>
      <c r="Y194" s="6"/>
      <c r="Z194" s="6"/>
      <c r="AA194" s="6"/>
      <c r="AB194" s="6"/>
      <c r="AC194" s="6"/>
      <c r="AD194" s="6"/>
      <c r="AE194" s="6"/>
      <c r="AF194" s="6"/>
      <c r="AG194" s="6"/>
      <c r="AH194" s="6"/>
      <c r="AI194" s="6"/>
      <c r="AJ194" s="6"/>
      <c r="AK194" s="6"/>
      <c r="AL194" s="6"/>
      <c r="AM194" s="48"/>
      <c r="AN194" s="52"/>
      <c r="AO194" s="52"/>
      <c r="AP194" s="6"/>
      <c r="AQ194" s="122"/>
    </row>
    <row r="195" spans="1:43" x14ac:dyDescent="0.25">
      <c r="A195" s="3"/>
      <c r="B195" s="3"/>
      <c r="C195" s="3"/>
      <c r="D195" s="3"/>
      <c r="E195" s="3"/>
      <c r="F195" s="3"/>
      <c r="G195" s="3"/>
      <c r="H195" s="3"/>
      <c r="I195" s="3"/>
      <c r="J195" s="3"/>
      <c r="K195" s="3"/>
      <c r="L195" s="3"/>
      <c r="M195" s="3"/>
      <c r="N195" s="28"/>
      <c r="O195" s="6"/>
      <c r="P195" s="6"/>
      <c r="Q195" s="11"/>
      <c r="R195" s="6"/>
      <c r="S195" s="6"/>
      <c r="T195" s="6"/>
      <c r="U195" s="6"/>
      <c r="V195" s="6"/>
      <c r="W195" s="231"/>
      <c r="X195" s="231"/>
      <c r="Y195" s="6"/>
      <c r="Z195" s="6"/>
      <c r="AA195" s="6"/>
      <c r="AB195" s="6"/>
      <c r="AC195" s="6"/>
      <c r="AD195" s="6"/>
      <c r="AE195" s="6"/>
      <c r="AF195" s="6"/>
      <c r="AG195" s="6"/>
      <c r="AH195" s="6"/>
      <c r="AI195" s="6"/>
      <c r="AJ195" s="6"/>
      <c r="AK195" s="6"/>
      <c r="AL195" s="6"/>
      <c r="AM195" s="48"/>
      <c r="AN195" s="52"/>
      <c r="AO195" s="52"/>
      <c r="AP195" s="6"/>
      <c r="AQ195" s="122"/>
    </row>
    <row r="196" spans="1:43" x14ac:dyDescent="0.25">
      <c r="A196" s="3"/>
      <c r="B196" s="3"/>
      <c r="C196" s="3"/>
      <c r="D196" s="3"/>
      <c r="E196" s="3"/>
      <c r="F196" s="3"/>
      <c r="G196" s="3"/>
      <c r="H196" s="3"/>
      <c r="I196" s="3"/>
      <c r="J196" s="3"/>
      <c r="K196" s="3"/>
      <c r="L196" s="3"/>
      <c r="M196" s="3"/>
      <c r="N196" s="28"/>
      <c r="O196" s="6"/>
      <c r="P196" s="6"/>
      <c r="Q196" s="11"/>
      <c r="R196" s="6"/>
      <c r="S196" s="6"/>
      <c r="T196" s="6"/>
      <c r="U196" s="6"/>
      <c r="V196" s="6"/>
      <c r="W196" s="231"/>
      <c r="X196" s="231"/>
      <c r="Y196" s="6"/>
      <c r="Z196" s="6"/>
      <c r="AA196" s="6"/>
      <c r="AB196" s="6"/>
      <c r="AC196" s="6"/>
      <c r="AD196" s="6"/>
      <c r="AE196" s="6"/>
      <c r="AF196" s="6"/>
      <c r="AG196" s="6"/>
      <c r="AH196" s="6"/>
      <c r="AI196" s="6"/>
      <c r="AJ196" s="6"/>
      <c r="AK196" s="6"/>
      <c r="AL196" s="6"/>
      <c r="AM196" s="48"/>
      <c r="AN196" s="52"/>
      <c r="AO196" s="52"/>
      <c r="AP196" s="6"/>
      <c r="AQ196" s="122"/>
    </row>
    <row r="197" spans="1:43" x14ac:dyDescent="0.25">
      <c r="A197" s="3"/>
      <c r="B197" s="3"/>
      <c r="C197" s="3"/>
      <c r="D197" s="3"/>
      <c r="E197" s="3"/>
      <c r="F197" s="3"/>
      <c r="G197" s="3"/>
      <c r="H197" s="3"/>
      <c r="I197" s="3"/>
      <c r="J197" s="3"/>
      <c r="K197" s="3"/>
      <c r="L197" s="3"/>
      <c r="M197" s="3"/>
      <c r="N197" s="28"/>
      <c r="O197" s="6"/>
      <c r="P197" s="6"/>
      <c r="Q197" s="11"/>
      <c r="R197" s="6"/>
      <c r="S197" s="6"/>
      <c r="T197" s="6"/>
      <c r="U197" s="6"/>
      <c r="V197" s="6"/>
      <c r="W197" s="231"/>
      <c r="X197" s="231"/>
      <c r="Y197" s="6"/>
      <c r="Z197" s="6"/>
      <c r="AA197" s="6"/>
      <c r="AB197" s="6"/>
      <c r="AC197" s="6"/>
      <c r="AD197" s="6"/>
      <c r="AE197" s="6"/>
      <c r="AF197" s="6"/>
      <c r="AG197" s="6"/>
      <c r="AH197" s="6"/>
      <c r="AI197" s="6"/>
      <c r="AJ197" s="6"/>
      <c r="AK197" s="6"/>
      <c r="AL197" s="6"/>
      <c r="AM197" s="48"/>
      <c r="AN197" s="52"/>
      <c r="AO197" s="52"/>
      <c r="AP197" s="6"/>
      <c r="AQ197" s="122"/>
    </row>
    <row r="198" spans="1:43" x14ac:dyDescent="0.25">
      <c r="A198" s="3"/>
      <c r="B198" s="3"/>
      <c r="C198" s="3"/>
      <c r="D198" s="3"/>
      <c r="E198" s="3"/>
      <c r="F198" s="3"/>
      <c r="G198" s="3"/>
      <c r="H198" s="3"/>
      <c r="I198" s="3"/>
      <c r="J198" s="3"/>
      <c r="K198" s="3"/>
      <c r="L198" s="3"/>
      <c r="M198" s="3"/>
      <c r="N198" s="28"/>
      <c r="O198" s="6"/>
      <c r="P198" s="6"/>
      <c r="Q198" s="11"/>
      <c r="R198" s="6"/>
      <c r="S198" s="6"/>
      <c r="T198" s="6"/>
      <c r="U198" s="6"/>
      <c r="V198" s="6"/>
      <c r="W198" s="231"/>
      <c r="X198" s="231"/>
      <c r="Y198" s="6"/>
      <c r="Z198" s="6"/>
      <c r="AA198" s="6"/>
      <c r="AB198" s="6"/>
      <c r="AC198" s="6"/>
      <c r="AD198" s="6"/>
      <c r="AE198" s="6"/>
      <c r="AF198" s="6"/>
      <c r="AG198" s="6"/>
      <c r="AH198" s="6"/>
      <c r="AI198" s="6"/>
      <c r="AJ198" s="6"/>
      <c r="AK198" s="6"/>
      <c r="AL198" s="6"/>
      <c r="AM198" s="48"/>
      <c r="AN198" s="52"/>
      <c r="AO198" s="52"/>
      <c r="AP198" s="6"/>
      <c r="AQ198" s="122"/>
    </row>
    <row r="199" spans="1:43" x14ac:dyDescent="0.25">
      <c r="A199" s="3"/>
      <c r="B199" s="3"/>
      <c r="C199" s="3"/>
      <c r="D199" s="3"/>
      <c r="E199" s="3"/>
      <c r="F199" s="3"/>
      <c r="G199" s="3"/>
      <c r="H199" s="3"/>
      <c r="I199" s="3"/>
      <c r="J199" s="3"/>
      <c r="K199" s="3"/>
      <c r="L199" s="3"/>
      <c r="M199" s="3"/>
      <c r="N199" s="28"/>
      <c r="O199" s="6"/>
      <c r="P199" s="6"/>
      <c r="Q199" s="11"/>
      <c r="R199" s="6"/>
      <c r="S199" s="6"/>
      <c r="T199" s="6"/>
      <c r="U199" s="6"/>
      <c r="V199" s="6"/>
      <c r="W199" s="231"/>
      <c r="X199" s="231"/>
      <c r="Y199" s="6"/>
      <c r="Z199" s="6"/>
      <c r="AA199" s="6"/>
      <c r="AB199" s="6"/>
      <c r="AC199" s="6"/>
      <c r="AD199" s="6"/>
      <c r="AE199" s="6"/>
      <c r="AF199" s="6"/>
      <c r="AG199" s="6"/>
      <c r="AH199" s="6"/>
      <c r="AI199" s="6"/>
      <c r="AJ199" s="6"/>
      <c r="AK199" s="6"/>
      <c r="AL199" s="6"/>
      <c r="AM199" s="48"/>
      <c r="AN199" s="52"/>
      <c r="AO199" s="52"/>
      <c r="AP199" s="6"/>
      <c r="AQ199" s="122"/>
    </row>
    <row r="200" spans="1:43" x14ac:dyDescent="0.25">
      <c r="A200" s="3"/>
      <c r="B200" s="3"/>
      <c r="C200" s="3"/>
      <c r="D200" s="3"/>
      <c r="E200" s="3"/>
      <c r="F200" s="3"/>
      <c r="G200" s="3"/>
      <c r="H200" s="3"/>
      <c r="I200" s="3"/>
      <c r="J200" s="3"/>
      <c r="K200" s="3"/>
      <c r="L200" s="3"/>
      <c r="M200" s="3"/>
      <c r="N200" s="28"/>
      <c r="O200" s="6"/>
      <c r="P200" s="6"/>
      <c r="Q200" s="11"/>
      <c r="R200" s="6"/>
      <c r="S200" s="6"/>
      <c r="T200" s="6"/>
      <c r="U200" s="6"/>
      <c r="V200" s="6"/>
      <c r="W200" s="231"/>
      <c r="X200" s="231"/>
      <c r="Y200" s="6"/>
      <c r="Z200" s="6"/>
      <c r="AA200" s="6"/>
      <c r="AB200" s="6"/>
      <c r="AC200" s="6"/>
      <c r="AD200" s="6"/>
      <c r="AE200" s="6"/>
      <c r="AF200" s="6"/>
      <c r="AG200" s="6"/>
      <c r="AH200" s="6"/>
      <c r="AI200" s="6"/>
      <c r="AJ200" s="6"/>
      <c r="AK200" s="6"/>
      <c r="AL200" s="6"/>
      <c r="AM200" s="48"/>
      <c r="AN200" s="52"/>
      <c r="AO200" s="52"/>
      <c r="AP200" s="6"/>
      <c r="AQ200" s="122"/>
    </row>
    <row r="201" spans="1:43" x14ac:dyDescent="0.25">
      <c r="A201" s="3"/>
      <c r="B201" s="3"/>
      <c r="C201" s="3"/>
      <c r="D201" s="3"/>
      <c r="E201" s="3"/>
      <c r="F201" s="3"/>
      <c r="G201" s="3"/>
      <c r="H201" s="3"/>
      <c r="I201" s="3"/>
      <c r="J201" s="3"/>
      <c r="K201" s="3"/>
      <c r="L201" s="3"/>
      <c r="M201" s="3"/>
      <c r="N201" s="28"/>
      <c r="O201" s="6"/>
      <c r="P201" s="6"/>
      <c r="Q201" s="11"/>
      <c r="R201" s="6"/>
      <c r="S201" s="6"/>
      <c r="T201" s="6"/>
      <c r="U201" s="6"/>
      <c r="V201" s="6"/>
      <c r="W201" s="231"/>
      <c r="X201" s="231"/>
      <c r="Y201" s="6"/>
      <c r="Z201" s="6"/>
      <c r="AA201" s="6"/>
      <c r="AB201" s="6"/>
      <c r="AC201" s="6"/>
      <c r="AD201" s="6"/>
      <c r="AE201" s="6"/>
      <c r="AF201" s="6"/>
      <c r="AG201" s="6"/>
      <c r="AH201" s="6"/>
      <c r="AI201" s="6"/>
      <c r="AJ201" s="6"/>
      <c r="AK201" s="6"/>
      <c r="AL201" s="6"/>
      <c r="AM201" s="48"/>
      <c r="AN201" s="52"/>
      <c r="AO201" s="52"/>
      <c r="AP201" s="6"/>
      <c r="AQ201" s="122"/>
    </row>
    <row r="202" spans="1:43" x14ac:dyDescent="0.25">
      <c r="A202" s="3"/>
      <c r="B202" s="3"/>
      <c r="C202" s="3"/>
      <c r="D202" s="3"/>
      <c r="E202" s="3"/>
      <c r="F202" s="3"/>
      <c r="G202" s="3"/>
      <c r="H202" s="3"/>
      <c r="I202" s="3"/>
      <c r="J202" s="3"/>
      <c r="K202" s="3"/>
      <c r="L202" s="3"/>
      <c r="M202" s="3"/>
      <c r="N202" s="28"/>
      <c r="O202" s="6"/>
      <c r="P202" s="6"/>
      <c r="Q202" s="11"/>
      <c r="R202" s="6"/>
      <c r="S202" s="6"/>
      <c r="T202" s="6"/>
      <c r="U202" s="6"/>
      <c r="V202" s="6"/>
      <c r="W202" s="231"/>
      <c r="X202" s="231"/>
      <c r="Y202" s="6"/>
      <c r="Z202" s="6"/>
      <c r="AA202" s="6"/>
      <c r="AB202" s="6"/>
      <c r="AC202" s="6"/>
      <c r="AD202" s="6"/>
      <c r="AE202" s="6"/>
      <c r="AF202" s="6"/>
      <c r="AG202" s="6"/>
      <c r="AH202" s="6"/>
      <c r="AI202" s="6"/>
      <c r="AJ202" s="6"/>
      <c r="AK202" s="6"/>
      <c r="AL202" s="6"/>
      <c r="AM202" s="48"/>
      <c r="AN202" s="52"/>
      <c r="AO202" s="52"/>
      <c r="AP202" s="6"/>
      <c r="AQ202" s="122"/>
    </row>
    <row r="203" spans="1:43" x14ac:dyDescent="0.25">
      <c r="A203" s="3"/>
      <c r="B203" s="3"/>
      <c r="C203" s="3"/>
      <c r="D203" s="3"/>
      <c r="E203" s="3"/>
      <c r="F203" s="3"/>
      <c r="G203" s="3"/>
      <c r="H203" s="3"/>
      <c r="I203" s="3"/>
      <c r="J203" s="3"/>
      <c r="K203" s="3"/>
      <c r="L203" s="3"/>
      <c r="M203" s="3"/>
      <c r="N203" s="28"/>
      <c r="O203" s="6"/>
      <c r="P203" s="6"/>
      <c r="Q203" s="11"/>
      <c r="R203" s="6"/>
      <c r="S203" s="6"/>
      <c r="T203" s="6"/>
      <c r="U203" s="6"/>
      <c r="V203" s="6"/>
      <c r="W203" s="231"/>
      <c r="X203" s="231"/>
      <c r="Y203" s="6"/>
      <c r="Z203" s="6"/>
      <c r="AA203" s="6"/>
      <c r="AB203" s="6"/>
      <c r="AC203" s="6"/>
      <c r="AD203" s="6"/>
      <c r="AE203" s="6"/>
      <c r="AF203" s="6"/>
      <c r="AG203" s="6"/>
      <c r="AH203" s="6"/>
      <c r="AI203" s="6"/>
      <c r="AJ203" s="6"/>
      <c r="AK203" s="6"/>
      <c r="AL203" s="6"/>
      <c r="AM203" s="48"/>
      <c r="AN203" s="52"/>
      <c r="AO203" s="52"/>
      <c r="AP203" s="6"/>
      <c r="AQ203" s="122"/>
    </row>
    <row r="204" spans="1:43" x14ac:dyDescent="0.25">
      <c r="A204" s="3"/>
      <c r="B204" s="3"/>
      <c r="C204" s="3"/>
      <c r="D204" s="3"/>
      <c r="E204" s="3"/>
      <c r="F204" s="3"/>
      <c r="G204" s="3"/>
      <c r="H204" s="3"/>
      <c r="I204" s="3"/>
      <c r="J204" s="3"/>
      <c r="K204" s="3"/>
      <c r="L204" s="3"/>
      <c r="M204" s="3"/>
      <c r="N204" s="28"/>
      <c r="O204" s="6"/>
      <c r="P204" s="6"/>
      <c r="Q204" s="11"/>
      <c r="R204" s="6"/>
      <c r="S204" s="6"/>
      <c r="T204" s="6"/>
      <c r="U204" s="6"/>
      <c r="V204" s="6"/>
      <c r="W204" s="231"/>
      <c r="X204" s="231"/>
      <c r="Y204" s="6"/>
      <c r="Z204" s="6"/>
      <c r="AA204" s="6"/>
      <c r="AB204" s="6"/>
      <c r="AC204" s="6"/>
      <c r="AD204" s="6"/>
      <c r="AE204" s="6"/>
      <c r="AF204" s="6"/>
      <c r="AG204" s="6"/>
      <c r="AH204" s="6"/>
      <c r="AI204" s="6"/>
      <c r="AJ204" s="6"/>
      <c r="AK204" s="6"/>
      <c r="AL204" s="6"/>
      <c r="AM204" s="48"/>
      <c r="AN204" s="52"/>
      <c r="AO204" s="52"/>
      <c r="AP204" s="6"/>
      <c r="AQ204" s="122"/>
    </row>
    <row r="205" spans="1:43" x14ac:dyDescent="0.25">
      <c r="A205" s="3"/>
      <c r="B205" s="3"/>
      <c r="C205" s="3"/>
      <c r="D205" s="3"/>
      <c r="E205" s="3"/>
      <c r="F205" s="3"/>
      <c r="G205" s="3"/>
      <c r="H205" s="3"/>
      <c r="I205" s="3"/>
      <c r="J205" s="3"/>
      <c r="K205" s="3"/>
      <c r="L205" s="3"/>
      <c r="M205" s="3"/>
      <c r="N205" s="28"/>
      <c r="O205" s="6"/>
      <c r="P205" s="6"/>
      <c r="Q205" s="11"/>
      <c r="R205" s="6"/>
      <c r="S205" s="6"/>
      <c r="T205" s="6"/>
      <c r="U205" s="6"/>
      <c r="V205" s="6"/>
      <c r="W205" s="231"/>
      <c r="X205" s="231"/>
      <c r="Y205" s="6"/>
      <c r="Z205" s="6"/>
      <c r="AA205" s="6"/>
      <c r="AB205" s="6"/>
      <c r="AC205" s="6"/>
      <c r="AD205" s="6"/>
      <c r="AE205" s="6"/>
      <c r="AF205" s="6"/>
      <c r="AG205" s="6"/>
      <c r="AH205" s="6"/>
      <c r="AI205" s="6"/>
      <c r="AJ205" s="6"/>
      <c r="AK205" s="6"/>
      <c r="AL205" s="6"/>
      <c r="AM205" s="48"/>
      <c r="AN205" s="52"/>
      <c r="AO205" s="52"/>
      <c r="AP205" s="6"/>
      <c r="AQ205" s="122"/>
    </row>
    <row r="206" spans="1:43" x14ac:dyDescent="0.25">
      <c r="A206" s="3"/>
      <c r="B206" s="3"/>
      <c r="C206" s="3"/>
      <c r="D206" s="3"/>
      <c r="E206" s="3"/>
      <c r="F206" s="3"/>
      <c r="G206" s="3"/>
      <c r="H206" s="3"/>
      <c r="I206" s="3"/>
      <c r="J206" s="3"/>
      <c r="K206" s="3"/>
      <c r="L206" s="3"/>
      <c r="M206" s="3"/>
      <c r="N206" s="28"/>
      <c r="O206" s="6"/>
      <c r="P206" s="6"/>
      <c r="Q206" s="11"/>
      <c r="R206" s="6"/>
      <c r="S206" s="6"/>
      <c r="T206" s="6"/>
      <c r="U206" s="6"/>
      <c r="V206" s="6"/>
      <c r="W206" s="231"/>
      <c r="X206" s="231"/>
      <c r="Y206" s="6"/>
      <c r="Z206" s="6"/>
      <c r="AA206" s="6"/>
      <c r="AB206" s="6"/>
      <c r="AC206" s="6"/>
      <c r="AD206" s="6"/>
      <c r="AE206" s="6"/>
      <c r="AF206" s="6"/>
      <c r="AG206" s="6"/>
      <c r="AH206" s="6"/>
      <c r="AI206" s="6"/>
      <c r="AJ206" s="6"/>
      <c r="AK206" s="6"/>
      <c r="AL206" s="6"/>
      <c r="AM206" s="48"/>
      <c r="AN206" s="52"/>
      <c r="AO206" s="52"/>
      <c r="AP206" s="6"/>
      <c r="AQ206" s="122"/>
    </row>
    <row r="207" spans="1:43" x14ac:dyDescent="0.25">
      <c r="A207" s="3"/>
      <c r="B207" s="3"/>
      <c r="C207" s="3"/>
      <c r="D207" s="3"/>
      <c r="E207" s="3"/>
      <c r="F207" s="3"/>
      <c r="G207" s="3"/>
      <c r="H207" s="3"/>
      <c r="I207" s="3"/>
      <c r="J207" s="3"/>
      <c r="K207" s="3"/>
      <c r="L207" s="3"/>
      <c r="M207" s="3"/>
      <c r="N207" s="28"/>
      <c r="O207" s="6"/>
      <c r="P207" s="6"/>
      <c r="Q207" s="11"/>
      <c r="R207" s="6"/>
      <c r="S207" s="6"/>
      <c r="T207" s="6"/>
      <c r="U207" s="6"/>
      <c r="V207" s="6"/>
      <c r="W207" s="231"/>
      <c r="X207" s="231"/>
      <c r="Y207" s="6"/>
      <c r="Z207" s="6"/>
      <c r="AA207" s="6"/>
      <c r="AB207" s="6"/>
      <c r="AC207" s="6"/>
      <c r="AD207" s="6"/>
      <c r="AE207" s="6"/>
      <c r="AF207" s="6"/>
      <c r="AG207" s="6"/>
      <c r="AH207" s="6"/>
      <c r="AI207" s="6"/>
      <c r="AJ207" s="6"/>
      <c r="AK207" s="6"/>
      <c r="AL207" s="6"/>
      <c r="AM207" s="48"/>
      <c r="AN207" s="52"/>
      <c r="AO207" s="52"/>
      <c r="AP207" s="6"/>
      <c r="AQ207" s="122"/>
    </row>
    <row r="208" spans="1:43" x14ac:dyDescent="0.25">
      <c r="A208" s="3"/>
      <c r="B208" s="3"/>
      <c r="C208" s="3"/>
      <c r="D208" s="3"/>
      <c r="E208" s="3"/>
      <c r="F208" s="3"/>
      <c r="G208" s="3"/>
      <c r="H208" s="3"/>
      <c r="I208" s="3"/>
      <c r="J208" s="3"/>
      <c r="K208" s="3"/>
      <c r="L208" s="3"/>
      <c r="M208" s="3"/>
      <c r="N208" s="28"/>
      <c r="O208" s="6"/>
      <c r="P208" s="6"/>
      <c r="Q208" s="11"/>
      <c r="R208" s="6"/>
      <c r="S208" s="6"/>
      <c r="T208" s="6"/>
      <c r="U208" s="6"/>
      <c r="V208" s="6"/>
      <c r="W208" s="231"/>
      <c r="X208" s="231"/>
      <c r="Y208" s="6"/>
      <c r="Z208" s="6"/>
      <c r="AA208" s="6"/>
      <c r="AB208" s="6"/>
      <c r="AC208" s="6"/>
      <c r="AD208" s="6"/>
      <c r="AE208" s="6"/>
      <c r="AF208" s="6"/>
      <c r="AG208" s="6"/>
      <c r="AH208" s="6"/>
      <c r="AI208" s="6"/>
      <c r="AJ208" s="6"/>
      <c r="AK208" s="6"/>
      <c r="AL208" s="6"/>
      <c r="AM208" s="48"/>
      <c r="AN208" s="52"/>
      <c r="AO208" s="52"/>
      <c r="AP208" s="6"/>
      <c r="AQ208" s="122"/>
    </row>
    <row r="209" spans="1:43" x14ac:dyDescent="0.25">
      <c r="A209" s="3"/>
      <c r="B209" s="3"/>
      <c r="C209" s="3"/>
      <c r="D209" s="3"/>
      <c r="E209" s="3"/>
      <c r="F209" s="3"/>
      <c r="G209" s="3"/>
      <c r="H209" s="3"/>
      <c r="I209" s="3"/>
      <c r="J209" s="3"/>
      <c r="K209" s="3"/>
      <c r="L209" s="3"/>
      <c r="M209" s="3"/>
      <c r="N209" s="28"/>
      <c r="O209" s="6"/>
      <c r="P209" s="6"/>
      <c r="Q209" s="11"/>
      <c r="R209" s="6"/>
      <c r="S209" s="6"/>
      <c r="T209" s="6"/>
      <c r="U209" s="6"/>
      <c r="V209" s="6"/>
      <c r="W209" s="231"/>
      <c r="X209" s="231"/>
      <c r="Y209" s="6"/>
      <c r="Z209" s="6"/>
      <c r="AA209" s="6"/>
      <c r="AB209" s="6"/>
      <c r="AC209" s="6"/>
      <c r="AD209" s="6"/>
      <c r="AE209" s="6"/>
      <c r="AF209" s="6"/>
      <c r="AG209" s="6"/>
      <c r="AH209" s="6"/>
      <c r="AI209" s="6"/>
      <c r="AJ209" s="6"/>
      <c r="AK209" s="6"/>
      <c r="AL209" s="6"/>
      <c r="AM209" s="48"/>
      <c r="AN209" s="52"/>
      <c r="AO209" s="52"/>
      <c r="AP209" s="6"/>
      <c r="AQ209" s="122"/>
    </row>
    <row r="210" spans="1:43" x14ac:dyDescent="0.25">
      <c r="A210" s="3"/>
      <c r="B210" s="3"/>
      <c r="C210" s="3"/>
      <c r="D210" s="3"/>
      <c r="E210" s="3"/>
      <c r="F210" s="3"/>
      <c r="G210" s="3"/>
      <c r="H210" s="3"/>
      <c r="I210" s="3"/>
      <c r="J210" s="3"/>
      <c r="K210" s="3"/>
      <c r="L210" s="3"/>
      <c r="M210" s="3"/>
      <c r="N210" s="28"/>
      <c r="O210" s="6"/>
      <c r="P210" s="6"/>
      <c r="Q210" s="11"/>
      <c r="R210" s="6"/>
      <c r="S210" s="6"/>
      <c r="T210" s="6"/>
      <c r="U210" s="6"/>
      <c r="V210" s="6"/>
      <c r="W210" s="231"/>
      <c r="X210" s="231"/>
      <c r="Y210" s="6"/>
      <c r="Z210" s="6"/>
      <c r="AA210" s="6"/>
      <c r="AB210" s="6"/>
      <c r="AC210" s="6"/>
      <c r="AD210" s="6"/>
      <c r="AE210" s="6"/>
      <c r="AF210" s="6"/>
      <c r="AG210" s="6"/>
      <c r="AH210" s="6"/>
      <c r="AI210" s="6"/>
      <c r="AJ210" s="6"/>
      <c r="AK210" s="6"/>
      <c r="AL210" s="6"/>
      <c r="AM210" s="48"/>
      <c r="AN210" s="52"/>
      <c r="AO210" s="52"/>
      <c r="AP210" s="6"/>
      <c r="AQ210" s="122"/>
    </row>
    <row r="211" spans="1:43" x14ac:dyDescent="0.25">
      <c r="A211" s="3"/>
      <c r="B211" s="3"/>
      <c r="C211" s="3"/>
      <c r="D211" s="3"/>
      <c r="E211" s="3"/>
      <c r="F211" s="3"/>
      <c r="G211" s="3"/>
      <c r="H211" s="3"/>
      <c r="I211" s="3"/>
      <c r="J211" s="3"/>
      <c r="K211" s="3"/>
      <c r="L211" s="3"/>
      <c r="M211" s="3"/>
      <c r="N211" s="28"/>
      <c r="O211" s="6"/>
      <c r="P211" s="6"/>
      <c r="Q211" s="11"/>
      <c r="R211" s="6"/>
      <c r="S211" s="6"/>
      <c r="T211" s="6"/>
      <c r="U211" s="6"/>
      <c r="V211" s="6"/>
      <c r="W211" s="231"/>
      <c r="X211" s="231"/>
      <c r="Y211" s="6"/>
      <c r="Z211" s="6"/>
      <c r="AA211" s="6"/>
      <c r="AB211" s="6"/>
      <c r="AC211" s="6"/>
      <c r="AD211" s="6"/>
      <c r="AE211" s="6"/>
      <c r="AF211" s="6"/>
      <c r="AG211" s="6"/>
      <c r="AH211" s="6"/>
      <c r="AI211" s="6"/>
      <c r="AJ211" s="6"/>
      <c r="AK211" s="6"/>
      <c r="AL211" s="6"/>
      <c r="AM211" s="48"/>
      <c r="AN211" s="52"/>
      <c r="AO211" s="52"/>
      <c r="AP211" s="6"/>
      <c r="AQ211" s="122"/>
    </row>
    <row r="212" spans="1:43" x14ac:dyDescent="0.25">
      <c r="A212" s="3"/>
      <c r="B212" s="3"/>
      <c r="C212" s="3"/>
      <c r="D212" s="3"/>
      <c r="E212" s="3"/>
      <c r="F212" s="3"/>
      <c r="G212" s="3"/>
      <c r="H212" s="3"/>
      <c r="I212" s="3"/>
      <c r="J212" s="3"/>
      <c r="K212" s="3"/>
      <c r="L212" s="3"/>
      <c r="M212" s="3"/>
      <c r="N212" s="28"/>
      <c r="O212" s="6"/>
      <c r="P212" s="6"/>
      <c r="Q212" s="11"/>
      <c r="R212" s="6"/>
      <c r="S212" s="6"/>
      <c r="T212" s="6"/>
      <c r="U212" s="6"/>
      <c r="V212" s="6"/>
      <c r="W212" s="231"/>
      <c r="X212" s="231"/>
      <c r="Y212" s="6"/>
      <c r="Z212" s="6"/>
      <c r="AA212" s="6"/>
      <c r="AB212" s="6"/>
      <c r="AC212" s="6"/>
      <c r="AD212" s="6"/>
      <c r="AE212" s="6"/>
      <c r="AF212" s="6"/>
      <c r="AG212" s="6"/>
      <c r="AH212" s="6"/>
      <c r="AI212" s="6"/>
      <c r="AJ212" s="6"/>
      <c r="AK212" s="6"/>
      <c r="AL212" s="6"/>
      <c r="AM212" s="48"/>
      <c r="AN212" s="52"/>
      <c r="AO212" s="52"/>
      <c r="AP212" s="6"/>
      <c r="AQ212" s="122"/>
    </row>
    <row r="213" spans="1:43" x14ac:dyDescent="0.25">
      <c r="A213" s="3"/>
      <c r="B213" s="3"/>
      <c r="C213" s="3"/>
      <c r="D213" s="3"/>
      <c r="E213" s="3"/>
      <c r="F213" s="3"/>
      <c r="G213" s="3"/>
      <c r="H213" s="3"/>
      <c r="I213" s="3"/>
      <c r="J213" s="3"/>
      <c r="K213" s="3"/>
      <c r="L213" s="3"/>
      <c r="M213" s="3"/>
      <c r="N213" s="28"/>
      <c r="O213" s="6"/>
      <c r="P213" s="6"/>
      <c r="Q213" s="11"/>
      <c r="R213" s="6"/>
      <c r="S213" s="6"/>
      <c r="T213" s="6"/>
      <c r="U213" s="6"/>
      <c r="V213" s="6"/>
      <c r="W213" s="231"/>
      <c r="X213" s="231"/>
      <c r="Y213" s="6"/>
      <c r="Z213" s="6"/>
      <c r="AA213" s="6"/>
      <c r="AB213" s="6"/>
      <c r="AC213" s="6"/>
      <c r="AD213" s="6"/>
      <c r="AE213" s="6"/>
      <c r="AF213" s="6"/>
      <c r="AG213" s="6"/>
      <c r="AH213" s="6"/>
      <c r="AI213" s="6"/>
      <c r="AJ213" s="6"/>
      <c r="AK213" s="6"/>
      <c r="AL213" s="6"/>
      <c r="AM213" s="48"/>
      <c r="AN213" s="52"/>
      <c r="AO213" s="52"/>
      <c r="AP213" s="6"/>
      <c r="AQ213" s="122"/>
    </row>
    <row r="214" spans="1:43" x14ac:dyDescent="0.25">
      <c r="A214" s="3"/>
      <c r="B214" s="3"/>
      <c r="C214" s="3"/>
      <c r="D214" s="3"/>
      <c r="E214" s="3"/>
      <c r="F214" s="3"/>
      <c r="G214" s="3"/>
      <c r="H214" s="3"/>
      <c r="I214" s="3"/>
      <c r="J214" s="3"/>
      <c r="K214" s="3"/>
      <c r="L214" s="3"/>
      <c r="M214" s="3"/>
      <c r="N214" s="28"/>
      <c r="O214" s="6"/>
      <c r="P214" s="6"/>
      <c r="Q214" s="11"/>
      <c r="R214" s="6"/>
      <c r="S214" s="6"/>
      <c r="T214" s="6"/>
      <c r="U214" s="6"/>
      <c r="V214" s="6"/>
      <c r="W214" s="231"/>
      <c r="X214" s="231"/>
      <c r="Y214" s="6"/>
      <c r="Z214" s="6"/>
      <c r="AA214" s="6"/>
      <c r="AB214" s="6"/>
      <c r="AC214" s="6"/>
      <c r="AD214" s="6"/>
      <c r="AE214" s="6"/>
      <c r="AF214" s="6"/>
      <c r="AG214" s="6"/>
      <c r="AH214" s="6"/>
      <c r="AI214" s="6"/>
      <c r="AJ214" s="6"/>
      <c r="AK214" s="6"/>
      <c r="AL214" s="6"/>
      <c r="AM214" s="48"/>
      <c r="AN214" s="52"/>
      <c r="AO214" s="52"/>
      <c r="AP214" s="6"/>
      <c r="AQ214" s="122"/>
    </row>
    <row r="215" spans="1:43" x14ac:dyDescent="0.25">
      <c r="A215" s="3"/>
      <c r="B215" s="3"/>
      <c r="C215" s="3"/>
      <c r="D215" s="3"/>
      <c r="E215" s="3"/>
      <c r="F215" s="3"/>
      <c r="G215" s="3"/>
      <c r="H215" s="3"/>
      <c r="I215" s="3"/>
      <c r="J215" s="3"/>
      <c r="K215" s="3"/>
      <c r="L215" s="3"/>
      <c r="M215" s="3"/>
      <c r="N215" s="28"/>
      <c r="O215" s="6"/>
      <c r="P215" s="6"/>
      <c r="Q215" s="11"/>
      <c r="R215" s="6"/>
      <c r="S215" s="6"/>
      <c r="T215" s="6"/>
      <c r="U215" s="6"/>
      <c r="V215" s="6"/>
      <c r="W215" s="231"/>
      <c r="X215" s="231"/>
      <c r="Y215" s="6"/>
      <c r="Z215" s="6"/>
      <c r="AA215" s="6"/>
      <c r="AB215" s="6"/>
      <c r="AC215" s="6"/>
      <c r="AD215" s="6"/>
      <c r="AE215" s="6"/>
      <c r="AF215" s="6"/>
      <c r="AG215" s="6"/>
      <c r="AH215" s="6"/>
      <c r="AI215" s="6"/>
      <c r="AJ215" s="6"/>
      <c r="AK215" s="6"/>
      <c r="AL215" s="6"/>
      <c r="AM215" s="48"/>
      <c r="AN215" s="52"/>
      <c r="AO215" s="52"/>
      <c r="AP215" s="6"/>
      <c r="AQ215" s="122"/>
    </row>
    <row r="216" spans="1:43" x14ac:dyDescent="0.25">
      <c r="A216" s="3"/>
      <c r="B216" s="3"/>
      <c r="C216" s="3"/>
      <c r="D216" s="3"/>
      <c r="E216" s="3"/>
      <c r="F216" s="3"/>
      <c r="G216" s="3"/>
      <c r="H216" s="3"/>
      <c r="I216" s="3"/>
      <c r="J216" s="3"/>
      <c r="K216" s="3"/>
      <c r="L216" s="3"/>
      <c r="M216" s="3"/>
      <c r="N216" s="28"/>
      <c r="O216" s="6"/>
      <c r="P216" s="6"/>
      <c r="Q216" s="11"/>
      <c r="R216" s="6"/>
      <c r="S216" s="6"/>
      <c r="T216" s="6"/>
      <c r="U216" s="6"/>
      <c r="V216" s="6"/>
      <c r="W216" s="231"/>
      <c r="X216" s="231"/>
      <c r="Y216" s="6"/>
      <c r="Z216" s="6"/>
      <c r="AA216" s="6"/>
      <c r="AB216" s="6"/>
      <c r="AC216" s="6"/>
      <c r="AD216" s="6"/>
      <c r="AE216" s="6"/>
      <c r="AF216" s="6"/>
      <c r="AG216" s="6"/>
      <c r="AH216" s="6"/>
      <c r="AI216" s="6"/>
      <c r="AJ216" s="6"/>
      <c r="AK216" s="6"/>
      <c r="AL216" s="6"/>
      <c r="AM216" s="48"/>
      <c r="AN216" s="52"/>
      <c r="AO216" s="52"/>
      <c r="AP216" s="6"/>
      <c r="AQ216" s="122"/>
    </row>
    <row r="217" spans="1:43" x14ac:dyDescent="0.25">
      <c r="A217" s="3"/>
      <c r="B217" s="3"/>
      <c r="C217" s="3"/>
      <c r="D217" s="3"/>
      <c r="E217" s="3"/>
      <c r="F217" s="3"/>
      <c r="G217" s="3"/>
      <c r="H217" s="3"/>
      <c r="I217" s="3"/>
      <c r="J217" s="3"/>
      <c r="K217" s="3"/>
      <c r="L217" s="3"/>
      <c r="M217" s="3"/>
      <c r="N217" s="28"/>
      <c r="O217" s="6"/>
      <c r="P217" s="6"/>
      <c r="Q217" s="11"/>
      <c r="R217" s="6"/>
      <c r="S217" s="6"/>
      <c r="T217" s="6"/>
      <c r="U217" s="6"/>
      <c r="V217" s="6"/>
      <c r="W217" s="231"/>
      <c r="X217" s="231"/>
      <c r="Y217" s="6"/>
      <c r="Z217" s="6"/>
      <c r="AA217" s="6"/>
      <c r="AB217" s="6"/>
      <c r="AC217" s="6"/>
      <c r="AD217" s="6"/>
      <c r="AE217" s="6"/>
      <c r="AF217" s="6"/>
      <c r="AG217" s="6"/>
      <c r="AH217" s="6"/>
      <c r="AI217" s="6"/>
      <c r="AJ217" s="6"/>
      <c r="AK217" s="6"/>
      <c r="AL217" s="6"/>
      <c r="AM217" s="48"/>
      <c r="AN217" s="52"/>
      <c r="AO217" s="52"/>
      <c r="AP217" s="6"/>
      <c r="AQ217" s="122"/>
    </row>
    <row r="218" spans="1:43" x14ac:dyDescent="0.25">
      <c r="A218" s="3"/>
      <c r="B218" s="3"/>
      <c r="C218" s="3"/>
      <c r="D218" s="3"/>
      <c r="E218" s="3"/>
      <c r="F218" s="3"/>
      <c r="G218" s="3"/>
      <c r="H218" s="3"/>
      <c r="I218" s="3"/>
      <c r="J218" s="3"/>
      <c r="K218" s="3"/>
      <c r="L218" s="3"/>
      <c r="M218" s="3"/>
      <c r="N218" s="28"/>
      <c r="O218" s="6"/>
      <c r="P218" s="6"/>
      <c r="Q218" s="11"/>
      <c r="R218" s="6"/>
      <c r="S218" s="6"/>
      <c r="T218" s="6"/>
      <c r="U218" s="6"/>
      <c r="V218" s="6"/>
      <c r="W218" s="231"/>
      <c r="X218" s="231"/>
      <c r="Y218" s="6"/>
      <c r="Z218" s="6"/>
      <c r="AA218" s="6"/>
      <c r="AB218" s="6"/>
      <c r="AC218" s="6"/>
      <c r="AD218" s="6"/>
      <c r="AE218" s="6"/>
      <c r="AF218" s="6"/>
      <c r="AG218" s="6"/>
      <c r="AH218" s="6"/>
      <c r="AI218" s="6"/>
      <c r="AJ218" s="6"/>
      <c r="AK218" s="6"/>
      <c r="AL218" s="6"/>
      <c r="AM218" s="48"/>
      <c r="AN218" s="52"/>
      <c r="AO218" s="52"/>
      <c r="AP218" s="6"/>
      <c r="AQ218" s="122"/>
    </row>
    <row r="219" spans="1:43" x14ac:dyDescent="0.25">
      <c r="A219" s="3"/>
      <c r="B219" s="3"/>
      <c r="C219" s="3"/>
      <c r="D219" s="3"/>
      <c r="E219" s="3"/>
      <c r="F219" s="3"/>
      <c r="G219" s="3"/>
      <c r="H219" s="3"/>
      <c r="I219" s="3"/>
      <c r="J219" s="3"/>
      <c r="K219" s="3"/>
      <c r="L219" s="3"/>
      <c r="M219" s="3"/>
      <c r="N219" s="28"/>
      <c r="O219" s="6"/>
      <c r="P219" s="6"/>
      <c r="Q219" s="11"/>
      <c r="R219" s="6"/>
      <c r="S219" s="6"/>
      <c r="T219" s="6"/>
      <c r="U219" s="6"/>
      <c r="V219" s="6"/>
      <c r="W219" s="231"/>
      <c r="X219" s="231"/>
      <c r="Y219" s="6"/>
      <c r="Z219" s="6"/>
      <c r="AA219" s="6"/>
      <c r="AB219" s="6"/>
      <c r="AC219" s="6"/>
      <c r="AD219" s="6"/>
      <c r="AE219" s="6"/>
      <c r="AF219" s="6"/>
      <c r="AG219" s="6"/>
      <c r="AH219" s="6"/>
      <c r="AI219" s="6"/>
      <c r="AJ219" s="6"/>
      <c r="AK219" s="6"/>
      <c r="AL219" s="6"/>
      <c r="AM219" s="48"/>
      <c r="AN219" s="52"/>
      <c r="AO219" s="52"/>
      <c r="AP219" s="6"/>
      <c r="AQ219" s="122"/>
    </row>
    <row r="220" spans="1:43" x14ac:dyDescent="0.25">
      <c r="A220" s="3"/>
      <c r="B220" s="3"/>
      <c r="C220" s="3"/>
      <c r="D220" s="3"/>
      <c r="E220" s="3"/>
      <c r="F220" s="3"/>
      <c r="G220" s="3"/>
      <c r="H220" s="3"/>
      <c r="I220" s="3"/>
      <c r="J220" s="3"/>
      <c r="K220" s="3"/>
      <c r="L220" s="3"/>
      <c r="M220" s="3"/>
      <c r="N220" s="28"/>
      <c r="O220" s="6"/>
      <c r="P220" s="6"/>
      <c r="Q220" s="11"/>
      <c r="R220" s="6"/>
      <c r="S220" s="6"/>
      <c r="T220" s="6"/>
      <c r="U220" s="6"/>
      <c r="V220" s="6"/>
      <c r="W220" s="231"/>
      <c r="X220" s="231"/>
      <c r="Y220" s="6"/>
      <c r="Z220" s="6"/>
      <c r="AA220" s="6"/>
      <c r="AB220" s="6"/>
      <c r="AC220" s="6"/>
      <c r="AD220" s="6"/>
      <c r="AE220" s="6"/>
      <c r="AF220" s="6"/>
      <c r="AG220" s="6"/>
      <c r="AH220" s="6"/>
      <c r="AI220" s="6"/>
      <c r="AJ220" s="6"/>
      <c r="AK220" s="6"/>
      <c r="AL220" s="6"/>
      <c r="AM220" s="48"/>
      <c r="AN220" s="52"/>
      <c r="AO220" s="52"/>
      <c r="AP220" s="6"/>
      <c r="AQ220" s="122"/>
    </row>
    <row r="221" spans="1:43" x14ac:dyDescent="0.25">
      <c r="A221" s="3"/>
      <c r="B221" s="3"/>
      <c r="C221" s="3"/>
      <c r="D221" s="3"/>
      <c r="E221" s="3"/>
      <c r="F221" s="3"/>
      <c r="G221" s="3"/>
      <c r="H221" s="3"/>
      <c r="I221" s="3"/>
      <c r="J221" s="3"/>
      <c r="K221" s="3"/>
      <c r="L221" s="3"/>
      <c r="M221" s="3"/>
      <c r="N221" s="28"/>
      <c r="O221" s="6"/>
      <c r="P221" s="6"/>
      <c r="Q221" s="11"/>
      <c r="R221" s="6"/>
      <c r="S221" s="6"/>
      <c r="T221" s="6"/>
      <c r="U221" s="6"/>
      <c r="V221" s="6"/>
      <c r="W221" s="231"/>
      <c r="X221" s="231"/>
      <c r="Y221" s="6"/>
      <c r="Z221" s="6"/>
      <c r="AA221" s="6"/>
      <c r="AB221" s="6"/>
      <c r="AC221" s="6"/>
      <c r="AD221" s="6"/>
      <c r="AE221" s="6"/>
      <c r="AF221" s="6"/>
      <c r="AG221" s="6"/>
      <c r="AH221" s="6"/>
      <c r="AI221" s="6"/>
      <c r="AJ221" s="6"/>
      <c r="AK221" s="6"/>
      <c r="AL221" s="6"/>
      <c r="AM221" s="48"/>
      <c r="AN221" s="52"/>
      <c r="AO221" s="52"/>
      <c r="AP221" s="6"/>
      <c r="AQ221" s="122"/>
    </row>
    <row r="222" spans="1:43" x14ac:dyDescent="0.25">
      <c r="A222" s="3"/>
      <c r="B222" s="3"/>
      <c r="C222" s="3"/>
      <c r="D222" s="3"/>
      <c r="E222" s="3"/>
      <c r="F222" s="3"/>
      <c r="G222" s="3"/>
      <c r="H222" s="3"/>
      <c r="I222" s="3"/>
      <c r="J222" s="3"/>
      <c r="K222" s="3"/>
      <c r="L222" s="3"/>
      <c r="M222" s="3"/>
      <c r="N222" s="28"/>
      <c r="O222" s="6"/>
      <c r="P222" s="6"/>
      <c r="Q222" s="11"/>
      <c r="R222" s="6"/>
      <c r="S222" s="6"/>
      <c r="T222" s="6"/>
      <c r="U222" s="6"/>
      <c r="V222" s="6"/>
      <c r="W222" s="231"/>
      <c r="X222" s="231"/>
      <c r="Y222" s="6"/>
      <c r="Z222" s="6"/>
      <c r="AA222" s="6"/>
      <c r="AB222" s="6"/>
      <c r="AC222" s="6"/>
      <c r="AD222" s="6"/>
      <c r="AE222" s="6"/>
      <c r="AF222" s="6"/>
      <c r="AG222" s="6"/>
      <c r="AH222" s="6"/>
      <c r="AI222" s="6"/>
      <c r="AJ222" s="6"/>
      <c r="AK222" s="6"/>
      <c r="AL222" s="6"/>
      <c r="AM222" s="48"/>
      <c r="AN222" s="52"/>
      <c r="AO222" s="52"/>
      <c r="AP222" s="6"/>
      <c r="AQ222" s="122"/>
    </row>
    <row r="223" spans="1:43" x14ac:dyDescent="0.25">
      <c r="A223" s="3"/>
      <c r="B223" s="3"/>
      <c r="C223" s="3"/>
      <c r="D223" s="3"/>
      <c r="E223" s="3"/>
      <c r="F223" s="3"/>
      <c r="G223" s="3"/>
      <c r="H223" s="3"/>
      <c r="I223" s="3"/>
      <c r="J223" s="3"/>
      <c r="K223" s="3"/>
      <c r="L223" s="3"/>
      <c r="M223" s="3"/>
      <c r="N223" s="28"/>
      <c r="O223" s="6"/>
      <c r="P223" s="6"/>
      <c r="Q223" s="11"/>
      <c r="R223" s="6"/>
      <c r="S223" s="6"/>
      <c r="T223" s="6"/>
      <c r="U223" s="6"/>
      <c r="V223" s="6"/>
      <c r="W223" s="231"/>
      <c r="X223" s="231"/>
      <c r="Y223" s="6"/>
      <c r="Z223" s="6"/>
      <c r="AA223" s="6"/>
      <c r="AB223" s="6"/>
      <c r="AC223" s="6"/>
      <c r="AD223" s="6"/>
      <c r="AE223" s="6"/>
      <c r="AF223" s="6"/>
      <c r="AG223" s="6"/>
      <c r="AH223" s="6"/>
      <c r="AI223" s="6"/>
      <c r="AJ223" s="6"/>
      <c r="AK223" s="6"/>
      <c r="AL223" s="6"/>
      <c r="AM223" s="48"/>
      <c r="AN223" s="52"/>
      <c r="AO223" s="52"/>
      <c r="AP223" s="6"/>
      <c r="AQ223" s="122"/>
    </row>
    <row r="224" spans="1:43" x14ac:dyDescent="0.25">
      <c r="A224" s="3"/>
      <c r="B224" s="3"/>
      <c r="C224" s="3"/>
      <c r="D224" s="3"/>
      <c r="E224" s="3"/>
      <c r="F224" s="3"/>
      <c r="G224" s="3"/>
      <c r="H224" s="3"/>
      <c r="I224" s="3"/>
      <c r="J224" s="3"/>
      <c r="K224" s="3"/>
      <c r="L224" s="3"/>
      <c r="M224" s="3"/>
      <c r="N224" s="28"/>
      <c r="O224" s="6"/>
      <c r="P224" s="6"/>
      <c r="Q224" s="11"/>
      <c r="R224" s="6"/>
      <c r="S224" s="6"/>
      <c r="T224" s="6"/>
      <c r="U224" s="6"/>
      <c r="V224" s="6"/>
      <c r="W224" s="231"/>
      <c r="X224" s="231"/>
      <c r="Y224" s="6"/>
      <c r="Z224" s="6"/>
      <c r="AA224" s="6"/>
      <c r="AB224" s="6"/>
      <c r="AC224" s="6"/>
      <c r="AD224" s="6"/>
      <c r="AE224" s="6"/>
      <c r="AF224" s="6"/>
      <c r="AG224" s="6"/>
      <c r="AH224" s="6"/>
      <c r="AI224" s="6"/>
      <c r="AJ224" s="6"/>
      <c r="AK224" s="6"/>
      <c r="AL224" s="6"/>
      <c r="AM224" s="48"/>
      <c r="AN224" s="52"/>
      <c r="AO224" s="52"/>
      <c r="AP224" s="6"/>
      <c r="AQ224" s="122"/>
    </row>
    <row r="225" spans="1:43" x14ac:dyDescent="0.25">
      <c r="A225" s="3"/>
      <c r="B225" s="3"/>
      <c r="C225" s="3"/>
      <c r="D225" s="3"/>
      <c r="E225" s="3"/>
      <c r="F225" s="3"/>
      <c r="G225" s="3"/>
      <c r="H225" s="3"/>
      <c r="I225" s="3"/>
      <c r="J225" s="3"/>
      <c r="K225" s="3"/>
      <c r="L225" s="3"/>
      <c r="M225" s="3"/>
      <c r="N225" s="28"/>
      <c r="O225" s="6"/>
      <c r="P225" s="6"/>
      <c r="Q225" s="11"/>
      <c r="R225" s="6"/>
      <c r="S225" s="6"/>
      <c r="T225" s="6"/>
      <c r="U225" s="6"/>
      <c r="V225" s="6"/>
      <c r="W225" s="231"/>
      <c r="X225" s="231"/>
      <c r="Y225" s="6"/>
      <c r="Z225" s="6"/>
      <c r="AA225" s="6"/>
      <c r="AB225" s="6"/>
      <c r="AC225" s="6"/>
      <c r="AD225" s="6"/>
      <c r="AE225" s="6"/>
      <c r="AF225" s="6"/>
      <c r="AG225" s="6"/>
      <c r="AH225" s="6"/>
      <c r="AI225" s="6"/>
      <c r="AJ225" s="6"/>
      <c r="AK225" s="6"/>
      <c r="AL225" s="6"/>
      <c r="AM225" s="48"/>
      <c r="AN225" s="52"/>
      <c r="AO225" s="52"/>
      <c r="AP225" s="6"/>
      <c r="AQ225" s="122"/>
    </row>
    <row r="226" spans="1:43" x14ac:dyDescent="0.25">
      <c r="A226" s="3"/>
      <c r="B226" s="3"/>
      <c r="C226" s="3"/>
      <c r="D226" s="3"/>
      <c r="E226" s="3"/>
      <c r="F226" s="3"/>
      <c r="G226" s="3"/>
      <c r="H226" s="3"/>
      <c r="I226" s="3"/>
      <c r="J226" s="3"/>
      <c r="K226" s="3"/>
      <c r="L226" s="3"/>
      <c r="M226" s="3"/>
      <c r="N226" s="28"/>
      <c r="O226" s="6"/>
      <c r="P226" s="6"/>
      <c r="Q226" s="11"/>
      <c r="R226" s="6"/>
      <c r="S226" s="6"/>
      <c r="T226" s="6"/>
      <c r="U226" s="6"/>
      <c r="V226" s="6"/>
      <c r="W226" s="231"/>
      <c r="X226" s="231"/>
      <c r="Y226" s="6"/>
      <c r="Z226" s="6"/>
      <c r="AA226" s="6"/>
      <c r="AB226" s="6"/>
      <c r="AC226" s="6"/>
      <c r="AD226" s="6"/>
      <c r="AE226" s="6"/>
      <c r="AF226" s="6"/>
      <c r="AG226" s="6"/>
      <c r="AH226" s="6"/>
      <c r="AI226" s="6"/>
      <c r="AJ226" s="6"/>
      <c r="AK226" s="6"/>
      <c r="AL226" s="6"/>
      <c r="AM226" s="48"/>
      <c r="AN226" s="52"/>
      <c r="AO226" s="52"/>
      <c r="AP226" s="6"/>
      <c r="AQ226" s="122"/>
    </row>
    <row r="227" spans="1:43" x14ac:dyDescent="0.25">
      <c r="A227" s="3"/>
      <c r="B227" s="3"/>
      <c r="C227" s="3"/>
      <c r="D227" s="3"/>
      <c r="E227" s="3"/>
      <c r="F227" s="3"/>
      <c r="G227" s="3"/>
      <c r="H227" s="3"/>
      <c r="I227" s="3"/>
      <c r="J227" s="3"/>
      <c r="K227" s="3"/>
      <c r="L227" s="3"/>
      <c r="M227" s="3"/>
      <c r="N227" s="28"/>
      <c r="O227" s="6"/>
      <c r="P227" s="6"/>
      <c r="Q227" s="11"/>
      <c r="R227" s="6"/>
      <c r="S227" s="6"/>
      <c r="T227" s="6"/>
      <c r="U227" s="6"/>
      <c r="V227" s="6"/>
      <c r="W227" s="231"/>
      <c r="X227" s="231"/>
      <c r="Y227" s="6"/>
      <c r="Z227" s="6"/>
      <c r="AA227" s="6"/>
      <c r="AB227" s="6"/>
      <c r="AC227" s="6"/>
      <c r="AD227" s="6"/>
      <c r="AE227" s="6"/>
      <c r="AF227" s="6"/>
      <c r="AG227" s="6"/>
      <c r="AH227" s="6"/>
      <c r="AI227" s="6"/>
      <c r="AJ227" s="6"/>
      <c r="AK227" s="6"/>
      <c r="AL227" s="6"/>
      <c r="AM227" s="48"/>
      <c r="AN227" s="52"/>
      <c r="AO227" s="52"/>
      <c r="AP227" s="6"/>
      <c r="AQ227" s="122"/>
    </row>
    <row r="228" spans="1:43" x14ac:dyDescent="0.25">
      <c r="A228" s="3"/>
      <c r="B228" s="3"/>
      <c r="C228" s="3"/>
      <c r="D228" s="3"/>
      <c r="E228" s="3"/>
      <c r="F228" s="3"/>
      <c r="G228" s="3"/>
      <c r="H228" s="3"/>
      <c r="I228" s="3"/>
      <c r="J228" s="3"/>
      <c r="K228" s="3"/>
      <c r="L228" s="3"/>
      <c r="M228" s="3"/>
      <c r="N228" s="28"/>
      <c r="O228" s="6"/>
      <c r="P228" s="6"/>
      <c r="Q228" s="11"/>
      <c r="R228" s="6"/>
      <c r="S228" s="6"/>
      <c r="T228" s="6"/>
      <c r="U228" s="6"/>
      <c r="V228" s="6"/>
      <c r="W228" s="231"/>
      <c r="X228" s="231"/>
      <c r="Y228" s="6"/>
      <c r="Z228" s="6"/>
      <c r="AA228" s="6"/>
      <c r="AB228" s="6"/>
      <c r="AC228" s="6"/>
      <c r="AD228" s="6"/>
      <c r="AE228" s="6"/>
      <c r="AF228" s="6"/>
      <c r="AG228" s="6"/>
      <c r="AH228" s="6"/>
      <c r="AI228" s="6"/>
      <c r="AJ228" s="6"/>
      <c r="AK228" s="6"/>
      <c r="AL228" s="6"/>
      <c r="AM228" s="48"/>
      <c r="AN228" s="52"/>
      <c r="AO228" s="52"/>
      <c r="AP228" s="6"/>
      <c r="AQ228" s="122"/>
    </row>
    <row r="229" spans="1:43" x14ac:dyDescent="0.25">
      <c r="A229" s="3"/>
      <c r="B229" s="3"/>
      <c r="C229" s="3"/>
      <c r="D229" s="3"/>
      <c r="E229" s="3"/>
      <c r="F229" s="3"/>
      <c r="G229" s="3"/>
      <c r="H229" s="3"/>
      <c r="I229" s="3"/>
      <c r="J229" s="3"/>
      <c r="K229" s="3"/>
      <c r="L229" s="3"/>
      <c r="M229" s="3"/>
      <c r="N229" s="28"/>
      <c r="O229" s="6"/>
      <c r="P229" s="6"/>
      <c r="Q229" s="11"/>
      <c r="R229" s="6"/>
      <c r="S229" s="6"/>
      <c r="T229" s="6"/>
      <c r="U229" s="6"/>
      <c r="V229" s="6"/>
      <c r="W229" s="231"/>
      <c r="X229" s="231"/>
      <c r="Y229" s="6"/>
      <c r="Z229" s="6"/>
      <c r="AA229" s="6"/>
      <c r="AB229" s="6"/>
      <c r="AC229" s="6"/>
      <c r="AD229" s="6"/>
      <c r="AE229" s="6"/>
      <c r="AF229" s="6"/>
      <c r="AG229" s="6"/>
      <c r="AH229" s="6"/>
      <c r="AI229" s="6"/>
      <c r="AJ229" s="46"/>
      <c r="AK229" s="46"/>
      <c r="AL229" s="46"/>
      <c r="AP229" s="46"/>
      <c r="AQ229" s="123"/>
    </row>
  </sheetData>
  <autoFilter ref="A3:AQ177" xr:uid="{9C1E70B7-9CA4-43EB-849D-2A791739425E}"/>
  <mergeCells count="2">
    <mergeCell ref="C2:AE2"/>
    <mergeCell ref="AF2:AI2"/>
  </mergeCells>
  <conditionalFormatting sqref="AJ121:AJ142">
    <cfRule type="cellIs" dxfId="3200" priority="10" operator="equal">
      <formula>"SI"</formula>
    </cfRule>
  </conditionalFormatting>
  <conditionalFormatting sqref="AJ1:AL1048576">
    <cfRule type="cellIs" dxfId="3199" priority="15" operator="equal">
      <formula>"NO"</formula>
    </cfRule>
  </conditionalFormatting>
  <conditionalFormatting sqref="AJ4:AJ110 AK1:AL1048576">
    <cfRule type="cellIs" dxfId="3198" priority="20" operator="equal">
      <formula>"SI"</formula>
    </cfRule>
  </conditionalFormatting>
  <conditionalFormatting sqref="AM1:AM1048576">
    <cfRule type="duplicateValues" dxfId="3197" priority="1"/>
    <cfRule type="duplicateValues" dxfId="3196" priority="14"/>
  </conditionalFormatting>
  <conditionalFormatting sqref="AM4:AM1048576">
    <cfRule type="duplicateValues" dxfId="3195" priority="11"/>
    <cfRule type="cellIs" dxfId="3194" priority="12" operator="greaterThan">
      <formula>0</formula>
    </cfRule>
  </conditionalFormatting>
  <conditionalFormatting sqref="AP1:AQ1048576">
    <cfRule type="cellIs" dxfId="3193" priority="2" operator="equal">
      <formula>"NO"</formula>
    </cfRule>
    <cfRule type="cellIs" dxfId="3192" priority="3" operator="equal">
      <formula>"NO"</formula>
    </cfRule>
    <cfRule type="cellIs" dxfId="3191" priority="4" operator="equal">
      <formula>"SI"</formula>
    </cfRule>
  </conditionalFormatting>
  <hyperlinks>
    <hyperlink ref="AE61" r:id="rId1" xr:uid="{22748E58-6B6D-4BCB-B471-83D6FA593D82}"/>
    <hyperlink ref="AE83" r:id="rId2" xr:uid="{BEE00070-A0CB-4BFF-BE8C-0AD611807132}"/>
    <hyperlink ref="AE66" r:id="rId3" xr:uid="{0B4A7564-205F-4E00-B28D-9BFD7808F713}"/>
    <hyperlink ref="AE67" r:id="rId4" xr:uid="{E337E6E2-6DA8-4EFC-98F7-A7D38F8F7CD2}"/>
    <hyperlink ref="AE80" r:id="rId5" xr:uid="{2E35FF02-D1E6-4349-A82E-4C46580951FF}"/>
    <hyperlink ref="AE69" r:id="rId6" xr:uid="{5920CD81-1B2F-4887-BB68-F10B1A5A4E40}"/>
    <hyperlink ref="AE70" r:id="rId7" xr:uid="{824A7526-8FF8-41F3-8155-903A35E35071}"/>
    <hyperlink ref="AE79" r:id="rId8" xr:uid="{DBA7F2C8-0204-4E39-AB7B-C939E317CDA8}"/>
    <hyperlink ref="AE55" r:id="rId9" xr:uid="{C06798EC-F7EE-4FF5-AB50-B6B53D60AAA3}"/>
    <hyperlink ref="AE56" r:id="rId10" xr:uid="{D7A9E302-6EA1-4AB6-9F36-F61134D87541}"/>
    <hyperlink ref="AE57" r:id="rId11" xr:uid="{29DB241F-E4BF-46F1-AE8C-854294028219}"/>
    <hyperlink ref="AE58" r:id="rId12" xr:uid="{42A72513-DFDD-461C-87F3-B9844B4DD461}"/>
    <hyperlink ref="AE59" r:id="rId13" xr:uid="{9EECC220-55BE-4FC1-BDBC-350DDD7927C3}"/>
    <hyperlink ref="AE60" r:id="rId14" xr:uid="{58DF3AF1-42A2-4292-83C5-7F062CD84585}"/>
    <hyperlink ref="AE45" r:id="rId15" xr:uid="{2C58071E-1B4B-44D6-9998-E93BB164545D}"/>
    <hyperlink ref="AE20" r:id="rId16" display="hgaitan@saesas.gov.co" xr:uid="{BE8C790D-99DB-4BF8-AC91-6D58792E2FDE}"/>
    <hyperlink ref="AE21" r:id="rId17" display="hgaitan@saesas.gov.co" xr:uid="{D49FFD49-4867-41F8-8C16-8C4E49FC9B6B}"/>
    <hyperlink ref="AE81" r:id="rId18" xr:uid="{D43765C5-E8AE-461D-991C-5ED2AF5A5152}"/>
    <hyperlink ref="AE82" r:id="rId19" xr:uid="{9E9F1259-517D-424C-B1C4-41F65F213324}"/>
    <hyperlink ref="AE52" r:id="rId20" xr:uid="{7BD5C218-2C3F-412A-9A81-D277122B093D}"/>
    <hyperlink ref="AE54" r:id="rId21" xr:uid="{23B40C66-EA08-4A6F-90DE-257EC46A89E3}"/>
    <hyperlink ref="AE11" r:id="rId22" xr:uid="{224EB2D4-6865-4F46-BCE1-930240E6E56B}"/>
    <hyperlink ref="AE12" r:id="rId23" xr:uid="{89AECE20-55B7-4C14-85DC-7354CB38F947}"/>
    <hyperlink ref="AE23" r:id="rId24" xr:uid="{33E58C6D-24E4-4820-B5A5-CDE6E9560088}"/>
    <hyperlink ref="AE24" r:id="rId25" xr:uid="{E078CFFA-5E96-4B53-8226-24D692FAFAE0}"/>
    <hyperlink ref="AE25" r:id="rId26" xr:uid="{5A103A2F-2668-453E-9772-AFDD6540E1D0}"/>
    <hyperlink ref="AE26" r:id="rId27" xr:uid="{4517CCD2-8A84-4541-A1D3-D4967979C712}"/>
    <hyperlink ref="AE27" r:id="rId28" xr:uid="{D373254C-6A36-42F6-93A6-64C5DAEECC9E}"/>
    <hyperlink ref="AE29" r:id="rId29" xr:uid="{D82EDD97-F5C2-4406-A65C-6EA354E3549D}"/>
    <hyperlink ref="AE105" r:id="rId30" xr:uid="{C326F95D-602A-4FDC-90A6-AC08277DB812}"/>
    <hyperlink ref="AE106" r:id="rId31" xr:uid="{F1812FCF-F551-48B2-AF02-2D0248CAB054}"/>
    <hyperlink ref="AE107" r:id="rId32" xr:uid="{31D959AA-AB9F-4258-9565-5727AEE70575}"/>
    <hyperlink ref="AE62" r:id="rId33" xr:uid="{04648EE0-EF78-4ADD-984A-8F18485335BC}"/>
    <hyperlink ref="AE63" r:id="rId34" xr:uid="{EB08927B-5637-4ABF-9C0D-D3C587E18E0B}"/>
    <hyperlink ref="AE64" r:id="rId35" xr:uid="{91E193EF-EB69-405A-857B-A3A75470899E}"/>
    <hyperlink ref="AE65" r:id="rId36" xr:uid="{083E36E6-CD26-491A-8B52-71AACA482859}"/>
    <hyperlink ref="AE30" r:id="rId37" xr:uid="{7D9EFD72-4FCA-42F0-82E4-0B775DE4659C}"/>
    <hyperlink ref="AE32" r:id="rId38" xr:uid="{8A12795F-1E59-42C5-A3DD-EDCEBF148E99}"/>
    <hyperlink ref="AE4" r:id="rId39" xr:uid="{1AFB3B6E-E130-46E6-8FCA-E85585B0A2CB}"/>
    <hyperlink ref="AE5" r:id="rId40" xr:uid="{BA0DA352-ABD0-47A1-80B7-2D1E4D4B1B8A}"/>
    <hyperlink ref="AE22" r:id="rId41" display="hgaitan@saesas.gov.co" xr:uid="{8A27E6B0-9BCE-4468-AE80-C634C2F96BA5}"/>
    <hyperlink ref="AE28" r:id="rId42" xr:uid="{31192CF3-893B-4EE5-87AF-2885FCCC692D}"/>
    <hyperlink ref="AE6" r:id="rId43" xr:uid="{2EEFF5BE-7EFA-4A20-B9C3-94981944BD70}"/>
    <hyperlink ref="AE31" r:id="rId44" xr:uid="{59DACEA2-A744-43D9-93FC-B14900C95C89}"/>
    <hyperlink ref="AE71" r:id="rId45" xr:uid="{D069AD84-0E7A-436A-A3E7-EA265AF4C747}"/>
    <hyperlink ref="AE72" r:id="rId46" xr:uid="{3FA0144B-F61B-405D-9858-96193864661D}"/>
    <hyperlink ref="AE73" r:id="rId47" xr:uid="{2778AB31-A404-48D5-B02D-476397CF79A6}"/>
    <hyperlink ref="AE74" r:id="rId48" xr:uid="{C1D96DCB-2483-4C24-9982-8C2C5EB3FA4E}"/>
    <hyperlink ref="AE75" r:id="rId49" xr:uid="{1B00A1B9-6396-495C-86BE-DB18A46F4EFB}"/>
    <hyperlink ref="AE76" r:id="rId50" xr:uid="{F9AEC00D-947F-4609-92EE-706854955F64}"/>
    <hyperlink ref="AE77" r:id="rId51" xr:uid="{C5607B17-8B6A-4846-9421-EFBE5F753A0D}"/>
    <hyperlink ref="AE78" r:id="rId52" xr:uid="{8613C47F-7302-43A6-9CBD-4D7BC2BFFD80}"/>
    <hyperlink ref="AE51" r:id="rId53" xr:uid="{CABCAB34-1117-4A9D-9ADA-F1783DA6C9CB}"/>
    <hyperlink ref="AE10" r:id="rId54" xr:uid="{942C220E-DB16-4DE8-BB37-E0B54E996942}"/>
    <hyperlink ref="AE68" r:id="rId55" xr:uid="{E68DBE23-02CE-42EB-ADF8-7CD94C4D00A5}"/>
    <hyperlink ref="AE84" r:id="rId56" xr:uid="{B989474C-A9F4-4F4E-86BE-F0B653E05BFD}"/>
    <hyperlink ref="AE9" r:id="rId57" xr:uid="{23171A40-07A7-4DB8-B8A3-B4A3B9DB8DED}"/>
    <hyperlink ref="AE7" r:id="rId58" xr:uid="{EB3C30D1-2C3D-43EF-B4A3-EA4561C02735}"/>
    <hyperlink ref="AE8" r:id="rId59" xr:uid="{D0EC22B2-F76F-4668-A299-4B029A4E1790}"/>
    <hyperlink ref="AE108" r:id="rId60" xr:uid="{235BE460-DAA3-4216-9E7A-F99422603086}"/>
    <hyperlink ref="AE42" r:id="rId61" xr:uid="{80D3591D-7461-4D9D-9428-58D3FED77C1B}"/>
    <hyperlink ref="AE46" r:id="rId62" xr:uid="{ADEF9385-E45C-45EC-A74A-7F83C2187597}"/>
    <hyperlink ref="AE50" r:id="rId63" xr:uid="{CF0FC45B-322D-488C-8617-438A14C94A34}"/>
    <hyperlink ref="AE112:AE113" r:id="rId64" display="jarivera@saesas.gov.co" xr:uid="{9A4A713F-0C96-4013-8007-F9AE690F272E}"/>
    <hyperlink ref="AE116" r:id="rId65" xr:uid="{A03A11EF-69AB-4424-92DB-512AD85CA863}"/>
    <hyperlink ref="AE119" r:id="rId66" xr:uid="{D1EB4BFC-20DE-4E05-9527-E4091AB9434D}"/>
    <hyperlink ref="AE13" r:id="rId67" xr:uid="{55A56286-C9E9-4FE0-8667-F9AE1D112221}"/>
    <hyperlink ref="AE33:AE36" r:id="rId68" display="drmartinez@saesas.gov.co " xr:uid="{CD3EFD83-5BB8-4A9D-85CC-FEAC832E9443}"/>
    <hyperlink ref="AE126" r:id="rId69" display="drmartinez@saesas.gov.co " xr:uid="{591FF697-1297-48D3-94DB-AC453C820CB7}"/>
    <hyperlink ref="AE134:AE135" r:id="rId70" display="drmartinez@saesas.gov.co " xr:uid="{3C4366F6-6FC2-4C75-94DB-90247EA36CDB}"/>
    <hyperlink ref="AE139" r:id="rId71" xr:uid="{E0FCEF9B-81A2-465B-8399-829AA238FDB8}"/>
    <hyperlink ref="AE140" r:id="rId72" xr:uid="{B2C8DFBA-9111-44CC-88B3-908F8E6F7AC7}"/>
    <hyperlink ref="AE141" r:id="rId73" xr:uid="{270CDDCF-1619-40C1-B966-16A590E4ED46}"/>
    <hyperlink ref="AE142" r:id="rId74" xr:uid="{9D139665-CEFD-49F7-9AF4-19E4802FD41E}"/>
  </hyperlinks>
  <printOptions horizontalCentered="1"/>
  <pageMargins left="0.70866141732283472" right="0.70866141732283472" top="0.74803149606299213" bottom="0.74803149606299213" header="0.31496062992125984" footer="0.31496062992125984"/>
  <pageSetup paperSize="5" scale="65" orientation="landscape" horizontalDpi="4294967295" verticalDpi="4294967295" r:id="rId75"/>
  <headerFooter>
    <oddFooter xml:space="preserve">&amp;C&amp;8
&amp;10F-BS1-039 Versión 1 - XX/07/2015 Página 1 de 1
Las copias impresas de este documento no son controladas. Si hace copia impresa verifique su actualización en el portal de intranet SAE SAS&amp;11
</oddFooter>
  </headerFooter>
  <drawing r:id="rId7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F4754-4B60-4E74-8A6F-B579D069BD7B}">
  <dimension ref="B1:H59"/>
  <sheetViews>
    <sheetView workbookViewId="0">
      <selection activeCell="B3" sqref="B3"/>
    </sheetView>
  </sheetViews>
  <sheetFormatPr baseColWidth="10" defaultRowHeight="15" x14ac:dyDescent="0.25"/>
  <cols>
    <col min="1" max="1" width="4.7109375" customWidth="1"/>
    <col min="2" max="2" width="17.85546875" bestFit="1" customWidth="1"/>
    <col min="3" max="3" width="20.7109375" bestFit="1" customWidth="1"/>
    <col min="4" max="4" width="21.5703125" bestFit="1" customWidth="1"/>
    <col min="5" max="5" width="4" customWidth="1"/>
    <col min="6" max="6" width="14.5703125" customWidth="1"/>
    <col min="7" max="7" width="30.85546875" customWidth="1"/>
    <col min="8" max="8" width="28.7109375" customWidth="1"/>
    <col min="9" max="11" width="2" bestFit="1" customWidth="1"/>
    <col min="12" max="101" width="3" bestFit="1" customWidth="1"/>
    <col min="102" max="134" width="4" bestFit="1" customWidth="1"/>
    <col min="135" max="135" width="12.5703125" bestFit="1" customWidth="1"/>
  </cols>
  <sheetData>
    <row r="1" spans="2:8" ht="15.75" thickBot="1" x14ac:dyDescent="0.3"/>
    <row r="2" spans="2:8" ht="15.75" thickBot="1" x14ac:dyDescent="0.3">
      <c r="G2" s="167" t="s">
        <v>673</v>
      </c>
      <c r="H2" s="168"/>
    </row>
    <row r="3" spans="2:8" ht="15.75" thickBot="1" x14ac:dyDescent="0.3">
      <c r="B3" s="140" t="s">
        <v>523</v>
      </c>
      <c r="C3" s="104" t="s">
        <v>524</v>
      </c>
      <c r="D3" s="103" t="s">
        <v>525</v>
      </c>
      <c r="F3" s="146"/>
      <c r="G3" s="159" t="s">
        <v>672</v>
      </c>
      <c r="H3" s="157" t="s">
        <v>669</v>
      </c>
    </row>
    <row r="4" spans="2:8" x14ac:dyDescent="0.25">
      <c r="B4" s="139" t="s">
        <v>50</v>
      </c>
      <c r="C4" s="144">
        <v>75</v>
      </c>
      <c r="D4" s="145"/>
      <c r="F4" s="150" t="s">
        <v>50</v>
      </c>
      <c r="G4" s="152">
        <f>GETPIVOTDATA("Cuenta de RADICADO",$B$3,"RADICADO","NO")</f>
        <v>75</v>
      </c>
      <c r="H4" s="153">
        <f>G4/G6</f>
        <v>0.53956834532374098</v>
      </c>
    </row>
    <row r="5" spans="2:8" ht="15.75" thickBot="1" x14ac:dyDescent="0.3">
      <c r="B5" s="132" t="s">
        <v>55</v>
      </c>
      <c r="C5" s="144">
        <v>64</v>
      </c>
      <c r="D5" s="145">
        <v>36</v>
      </c>
      <c r="F5" s="151" t="s">
        <v>55</v>
      </c>
      <c r="G5" s="154">
        <f>GETPIVOTDATA("Cuenta de RADICADO",$B$3,"RADICADO","SI")</f>
        <v>64</v>
      </c>
      <c r="H5" s="155">
        <f>G5/G6</f>
        <v>0.46043165467625902</v>
      </c>
    </row>
    <row r="6" spans="2:8" ht="15.75" thickBot="1" x14ac:dyDescent="0.3">
      <c r="B6" s="133" t="s">
        <v>50</v>
      </c>
      <c r="C6" s="144">
        <v>36</v>
      </c>
      <c r="D6" s="145">
        <v>9</v>
      </c>
      <c r="F6" s="147"/>
      <c r="G6" s="156">
        <f>SUM(G4:G5)</f>
        <v>139</v>
      </c>
      <c r="H6" s="158">
        <f>SUM(H4:H5)</f>
        <v>1</v>
      </c>
    </row>
    <row r="7" spans="2:8" ht="15.75" thickBot="1" x14ac:dyDescent="0.3">
      <c r="B7" s="134" t="s">
        <v>55</v>
      </c>
      <c r="C7" s="144">
        <v>28</v>
      </c>
      <c r="D7" s="145">
        <v>27</v>
      </c>
    </row>
    <row r="8" spans="2:8" ht="15.75" thickBot="1" x14ac:dyDescent="0.3">
      <c r="B8" s="86" t="s">
        <v>522</v>
      </c>
      <c r="C8" s="128">
        <v>139</v>
      </c>
      <c r="D8" s="129">
        <v>36</v>
      </c>
      <c r="G8" s="167" t="s">
        <v>677</v>
      </c>
      <c r="H8" s="168"/>
    </row>
    <row r="9" spans="2:8" ht="15.75" thickBot="1" x14ac:dyDescent="0.3">
      <c r="F9" s="146"/>
      <c r="G9" s="159" t="s">
        <v>674</v>
      </c>
      <c r="H9" s="157" t="s">
        <v>668</v>
      </c>
    </row>
    <row r="10" spans="2:8" x14ac:dyDescent="0.25">
      <c r="F10" s="162" t="s">
        <v>670</v>
      </c>
      <c r="G10" s="149">
        <f>GETPIVOTDATA("Cuenta de RADICADO",$B$3,"RADICADO","SI","SUSCRITO","SI")</f>
        <v>28</v>
      </c>
      <c r="H10" s="160">
        <f>G10/G12</f>
        <v>0.4375</v>
      </c>
    </row>
    <row r="11" spans="2:8" ht="15.75" thickBot="1" x14ac:dyDescent="0.3">
      <c r="F11" s="163" t="s">
        <v>671</v>
      </c>
      <c r="G11" s="164">
        <f>GETPIVOTDATA("Cuenta de RADICADO",$B$3,"RADICADO","SI","SUSCRITO","NO")</f>
        <v>36</v>
      </c>
      <c r="H11" s="161">
        <f>G11/G12</f>
        <v>0.5625</v>
      </c>
    </row>
    <row r="12" spans="2:8" ht="15.75" thickBot="1" x14ac:dyDescent="0.3">
      <c r="F12" s="143"/>
      <c r="G12" s="165">
        <f>SUM(G10:G11)</f>
        <v>64</v>
      </c>
      <c r="H12" s="166">
        <f>SUM(H10:H11)</f>
        <v>1</v>
      </c>
    </row>
    <row r="13" spans="2:8" ht="15.75" thickBot="1" x14ac:dyDescent="0.3"/>
    <row r="14" spans="2:8" ht="15.75" thickBot="1" x14ac:dyDescent="0.3">
      <c r="G14" s="167" t="s">
        <v>675</v>
      </c>
      <c r="H14" s="168"/>
    </row>
    <row r="15" spans="2:8" ht="15.75" thickBot="1" x14ac:dyDescent="0.3">
      <c r="F15" s="146"/>
      <c r="G15" s="146"/>
      <c r="H15" s="148"/>
    </row>
    <row r="16" spans="2:8" x14ac:dyDescent="0.25">
      <c r="F16" s="162" t="s">
        <v>670</v>
      </c>
      <c r="G16" s="149">
        <f>GETPIVOTDATA("Cuenta de RADICADO",$B$3,"RADICADO","SI","SUSCRITO","SI")</f>
        <v>28</v>
      </c>
      <c r="H16" s="160">
        <f>G16/G18</f>
        <v>0.20143884892086331</v>
      </c>
    </row>
    <row r="17" spans="6:8" ht="15.75" thickBot="1" x14ac:dyDescent="0.3">
      <c r="F17" s="163" t="s">
        <v>676</v>
      </c>
      <c r="G17" s="164">
        <f>GETPIVOTDATA("Cuenta de RADICADO",$B$3,"RADICADO","NO")+GETPIVOTDATA("Cuenta de RADICADO",$B$3,"RADICADO","SI","SUSCRITO","NO")</f>
        <v>111</v>
      </c>
      <c r="H17" s="161">
        <f>G17/G18</f>
        <v>0.79856115107913672</v>
      </c>
    </row>
    <row r="18" spans="6:8" ht="15.75" thickBot="1" x14ac:dyDescent="0.3">
      <c r="F18" s="143"/>
      <c r="G18" s="165">
        <f>SUM(G16:G17)</f>
        <v>139</v>
      </c>
      <c r="H18" s="166">
        <f>SUM(H16:H17)</f>
        <v>1</v>
      </c>
    </row>
    <row r="28" spans="6:8" ht="15.75" thickBot="1" x14ac:dyDescent="0.3"/>
    <row r="29" spans="6:8" ht="15.75" thickBot="1" x14ac:dyDescent="0.3"/>
    <row r="38" ht="15.75" thickBot="1" x14ac:dyDescent="0.3"/>
    <row r="39" ht="15.75" thickBot="1" x14ac:dyDescent="0.3"/>
    <row r="58" ht="15.75" thickBot="1" x14ac:dyDescent="0.3"/>
    <row r="59" ht="15.75" thickBot="1" x14ac:dyDescent="0.3"/>
  </sheetData>
  <mergeCells count="3">
    <mergeCell ref="G8:H8"/>
    <mergeCell ref="G2:H2"/>
    <mergeCell ref="G14:H14"/>
  </mergeCells>
  <pageMargins left="0.7" right="0.7" top="0.75" bottom="0.75" header="0.3" footer="0.3"/>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9996E-1292-4B9D-8250-579EA1D0A8F0}">
  <dimension ref="B1:J51"/>
  <sheetViews>
    <sheetView topLeftCell="A3" workbookViewId="0">
      <selection activeCell="B4" sqref="B4"/>
    </sheetView>
  </sheetViews>
  <sheetFormatPr baseColWidth="10" defaultRowHeight="15" x14ac:dyDescent="0.25"/>
  <cols>
    <col min="2" max="2" width="100.7109375" bestFit="1" customWidth="1"/>
    <col min="3" max="3" width="25.140625" bestFit="1" customWidth="1"/>
    <col min="4" max="4" width="4.5703125" bestFit="1" customWidth="1"/>
    <col min="5" max="5" width="3" bestFit="1" customWidth="1"/>
    <col min="6" max="6" width="7.5703125" bestFit="1" customWidth="1"/>
    <col min="7" max="7" width="12.5703125" bestFit="1" customWidth="1"/>
    <col min="8" max="8" width="2.85546875" customWidth="1"/>
    <col min="9" max="9" width="17.85546875" style="173" customWidth="1"/>
    <col min="10" max="10" width="18.85546875" style="173" customWidth="1"/>
  </cols>
  <sheetData>
    <row r="1" spans="2:10" ht="15.75" thickBot="1" x14ac:dyDescent="0.3"/>
    <row r="2" spans="2:10" ht="15.75" thickBot="1" x14ac:dyDescent="0.3">
      <c r="B2" s="186" t="s">
        <v>524</v>
      </c>
      <c r="C2" s="180" t="s">
        <v>521</v>
      </c>
      <c r="D2" s="184"/>
      <c r="E2" s="181"/>
      <c r="F2" s="189"/>
      <c r="G2" s="182"/>
    </row>
    <row r="3" spans="2:10" ht="15.75" thickBot="1" x14ac:dyDescent="0.3">
      <c r="B3" s="183"/>
      <c r="C3" s="291" t="s">
        <v>50</v>
      </c>
      <c r="D3" s="171" t="s">
        <v>55</v>
      </c>
      <c r="E3" s="190"/>
      <c r="F3" s="200" t="s">
        <v>678</v>
      </c>
      <c r="G3" s="195" t="s">
        <v>522</v>
      </c>
    </row>
    <row r="4" spans="2:10" ht="45.75" thickBot="1" x14ac:dyDescent="0.3">
      <c r="B4" s="179" t="s">
        <v>523</v>
      </c>
      <c r="C4" s="178"/>
      <c r="D4" s="184" t="s">
        <v>50</v>
      </c>
      <c r="E4" s="182" t="s">
        <v>55</v>
      </c>
      <c r="F4" s="201"/>
      <c r="G4" s="196"/>
      <c r="I4" s="217" t="s">
        <v>680</v>
      </c>
      <c r="J4" s="218" t="s">
        <v>679</v>
      </c>
    </row>
    <row r="5" spans="2:10" ht="15.75" thickBot="1" x14ac:dyDescent="0.3">
      <c r="B5" s="188" t="s">
        <v>44</v>
      </c>
      <c r="C5" s="192"/>
      <c r="D5" s="187">
        <v>2</v>
      </c>
      <c r="E5" s="172">
        <v>8</v>
      </c>
      <c r="F5" s="170">
        <v>10</v>
      </c>
      <c r="G5" s="193">
        <v>10</v>
      </c>
      <c r="I5" s="197">
        <f>GETPIVOTDATA("RADICADO",$B$2,"Nombre del área ","DESPACHO PRESIDENCIA","RADICADO","SI")/GETPIVOTDATA("RADICADO",$B$2,"Nombre del área ","DESPACHO PRESIDENCIA")</f>
        <v>1</v>
      </c>
      <c r="J5" s="174">
        <f>GETPIVOTDATA("RADICADO",$B$2,"Nombre del área ","DESPACHO PRESIDENCIA","RADICADO","SI","SUSCRITO","SI")/GETPIVOTDATA("RADICADO",$B$2,"Nombre del área ","DESPACHO PRESIDENCIA")</f>
        <v>0.8</v>
      </c>
    </row>
    <row r="6" spans="2:10" ht="15.75" thickBot="1" x14ac:dyDescent="0.3">
      <c r="B6" s="188" t="s">
        <v>67</v>
      </c>
      <c r="C6" s="192">
        <v>2</v>
      </c>
      <c r="D6" s="187"/>
      <c r="E6" s="172"/>
      <c r="F6" s="170"/>
      <c r="G6" s="193">
        <v>2</v>
      </c>
      <c r="I6" s="198">
        <f>GETPIVOTDATA("RADICADO",$B$2,"Nombre del área ","DIRECCCIÓN DE GOBIERNO, CONTROL Y DEMOCRATIZACIÓN DE SOCIEDADES","RADICADO","SI")/GETPIVOTDATA("RADICADO",$B$2,"Nombre del área ","DIRECCCIÓN DE GOBIERNO, CONTROL Y DEMOCRATIZACIÓN DE SOCIEDADES")</f>
        <v>0</v>
      </c>
      <c r="J6" s="175">
        <f>GETPIVOTDATA("RADICADO",$B$2,"Nombre del área ","DIRECCCIÓN DE GOBIERNO, CONTROL Y DEMOCRATIZACIÓN DE SOCIEDADES","RADICADO","SI","SUSCRITO","SI")/GETPIVOTDATA("RADICADO",$B$2,"Nombre del área ","DIRECCCIÓN DE GOBIERNO, CONTROL Y DEMOCRATIZACIÓN DE SOCIEDADES")</f>
        <v>0</v>
      </c>
    </row>
    <row r="7" spans="2:10" ht="15.75" thickBot="1" x14ac:dyDescent="0.3">
      <c r="B7" s="188" t="s">
        <v>85</v>
      </c>
      <c r="C7" s="192"/>
      <c r="D7" s="187">
        <v>9</v>
      </c>
      <c r="E7" s="172"/>
      <c r="F7" s="170">
        <v>9</v>
      </c>
      <c r="G7" s="193">
        <v>9</v>
      </c>
      <c r="I7" s="198">
        <f>GETPIVOTDATA("RADICADO",$B$2,"Nombre del área ","DIRECCCIÓN PARA LA DEMOCRATIZACIÓN DE ACTIVOS INMUEBLES RURALES","RADICADO","SI")/GETPIVOTDATA("RADICADO",$B$2,"Nombre del área ","DIRECCCIÓN PARA LA DEMOCRATIZACIÓN DE ACTIVOS INMUEBLES RURALES")</f>
        <v>1</v>
      </c>
      <c r="J7" s="175">
        <f>GETPIVOTDATA("RADICADO",$B$2,"Nombre del área ","DIRECCCIÓN PARA LA DEMOCRATIZACIÓN DE ACTIVOS INMUEBLES RURALES","RADICADO","SI","SUSCRITO","SI")/GETPIVOTDATA("RADICADO",$B$2,"Nombre del área ","DIRECCCIÓN PARA LA DEMOCRATIZACIÓN DE ACTIVOS INMUEBLES RURALES")</f>
        <v>0</v>
      </c>
    </row>
    <row r="8" spans="2:10" ht="15.75" thickBot="1" x14ac:dyDescent="0.3">
      <c r="B8" s="188" t="s">
        <v>98</v>
      </c>
      <c r="C8" s="192">
        <v>1</v>
      </c>
      <c r="D8" s="187">
        <v>2</v>
      </c>
      <c r="E8" s="172">
        <v>3</v>
      </c>
      <c r="F8" s="170">
        <v>5</v>
      </c>
      <c r="G8" s="193">
        <v>6</v>
      </c>
      <c r="I8" s="198">
        <f>GETPIVOTDATA("RADICADO",$B$2,"Nombre del área ","DIRECCCIÓN PARA LA DEMOCRATIZACIÓN DE ACTIVOS INMUEBLES URBANOS","RADICADO","SI")/GETPIVOTDATA("RADICADO",$B$2,"Nombre del área ","DIRECCCIÓN PARA LA DEMOCRATIZACIÓN DE ACTIVOS INMUEBLES URBANOS")</f>
        <v>0.83333333333333337</v>
      </c>
      <c r="J8" s="175">
        <f>GETPIVOTDATA("RADICADO",$B$2,"Nombre del área ","DIRECCCIÓN PARA LA DEMOCRATIZACIÓN DE ACTIVOS INMUEBLES URBANOS","RADICADO","SI","SUSCRITO","SI")/GETPIVOTDATA("RADICADO",$B$2,"Nombre del área ","DIRECCCIÓN PARA LA DEMOCRATIZACIÓN DE ACTIVOS INMUEBLES URBANOS")</f>
        <v>0.5</v>
      </c>
    </row>
    <row r="9" spans="2:10" ht="15.75" thickBot="1" x14ac:dyDescent="0.3">
      <c r="B9" s="188" t="s">
        <v>109</v>
      </c>
      <c r="C9" s="192">
        <v>2</v>
      </c>
      <c r="D9" s="187">
        <v>5</v>
      </c>
      <c r="E9" s="172"/>
      <c r="F9" s="170">
        <v>5</v>
      </c>
      <c r="G9" s="193">
        <v>7</v>
      </c>
      <c r="I9" s="198">
        <f>GETPIVOTDATA("RADICADO",$B$2,"Nombre del área ","DIRECCION ADMINISTRATIVA","RADICADO","SI")/GETPIVOTDATA("RADICADO",$B$2,"Nombre del área ","DIRECCION ADMINISTRATIVA")</f>
        <v>0.7142857142857143</v>
      </c>
      <c r="J9" s="175">
        <f>GETPIVOTDATA("RADICADO",$B$2,"Nombre del área ","DIRECCION ADMINISTRATIVA","RADICADO","SI","SUSCRITO","SI")/GETPIVOTDATA("RADICADO",$B$2,"Nombre del área ","DIRECCION ADMINISTRATIVA")</f>
        <v>0</v>
      </c>
    </row>
    <row r="10" spans="2:10" ht="15.75" thickBot="1" x14ac:dyDescent="0.3">
      <c r="B10" s="188" t="s">
        <v>163</v>
      </c>
      <c r="C10" s="192"/>
      <c r="D10" s="187">
        <v>2</v>
      </c>
      <c r="E10" s="172">
        <v>1</v>
      </c>
      <c r="F10" s="170">
        <v>3</v>
      </c>
      <c r="G10" s="193">
        <v>3</v>
      </c>
      <c r="I10" s="198">
        <f>GETPIVOTDATA("RADICADO",$B$2,"Nombre del área ","DIRECCIÓN COMERCIAL","RADICADO","SI")/GETPIVOTDATA("RADICADO",$B$2,"Nombre del área ","DIRECCIÓN COMERCIAL")</f>
        <v>1</v>
      </c>
      <c r="J10" s="175">
        <f>GETPIVOTDATA("RADICADO",$B$2,"Nombre del área ","DIRECCIÓN COMERCIAL","RADICADO","SI","SUSCRITO","SI")/GETPIVOTDATA("RADICADO",$B$2,"Nombre del área ","DIRECCIÓN COMERCIAL")</f>
        <v>0.33333333333333331</v>
      </c>
    </row>
    <row r="11" spans="2:10" ht="15.75" thickBot="1" x14ac:dyDescent="0.3">
      <c r="B11" s="188" t="s">
        <v>404</v>
      </c>
      <c r="C11" s="192">
        <v>3</v>
      </c>
      <c r="D11" s="187"/>
      <c r="E11" s="172"/>
      <c r="F11" s="170"/>
      <c r="G11" s="193">
        <v>3</v>
      </c>
      <c r="I11" s="198">
        <f>GETPIVOTDATA("RADICADO",$B$2,"Nombre del área ","DIRECCIÓN DE ANALÍTICA, ALISTAMIENTO Y VALORACIÓN","RADICADO","SI")/GETPIVOTDATA("RADICADO",$B$2,"Nombre del área ","DIRECCIÓN DE ANALÍTICA, ALISTAMIENTO Y VALORACIÓN")</f>
        <v>0</v>
      </c>
      <c r="J11" s="175">
        <f>GETPIVOTDATA("RADICADO",$B$2,"Nombre del área ","DIRECCIÓN DE ANALÍTICA, ALISTAMIENTO Y VALORACIÓN","RADICADO","SI","SUSCRITO","SI")/GETPIVOTDATA("RADICADO",$B$2,"Nombre del área ","DIRECCIÓN DE ANALÍTICA, ALISTAMIENTO Y VALORACIÓN")</f>
        <v>0</v>
      </c>
    </row>
    <row r="12" spans="2:10" ht="15.75" thickBot="1" x14ac:dyDescent="0.3">
      <c r="B12" s="188" t="s">
        <v>362</v>
      </c>
      <c r="C12" s="192">
        <v>10</v>
      </c>
      <c r="D12" s="187"/>
      <c r="E12" s="172">
        <v>1</v>
      </c>
      <c r="F12" s="170">
        <v>1</v>
      </c>
      <c r="G12" s="193">
        <v>11</v>
      </c>
      <c r="I12" s="198">
        <f>GETPIVOTDATA("RADICADO",$B$2,"Nombre del área ","DIRECCIÓN DE ASUNTOS LEGALES MISIONALES","RADICADO","SI")/GETPIVOTDATA("RADICADO",$B$2,"Nombre del área ","DIRECCIÓN DE ASUNTOS LEGALES MISIONALES")</f>
        <v>9.0909090909090912E-2</v>
      </c>
      <c r="J12" s="175">
        <f>GETPIVOTDATA("RADICADO",$B$2,"Nombre del área ","DIRECCIÓN DE ASUNTOS LEGALES MISIONALES","RADICADO","SI","SUSCRITO","SI")/GETPIVOTDATA("RADICADO",$B$2,"Nombre del área ","DIRECCIÓN DE ASUNTOS LEGALES MISIONALES")</f>
        <v>9.0909090909090912E-2</v>
      </c>
    </row>
    <row r="13" spans="2:10" ht="15.75" thickBot="1" x14ac:dyDescent="0.3">
      <c r="B13" s="188" t="s">
        <v>176</v>
      </c>
      <c r="C13" s="192">
        <v>2</v>
      </c>
      <c r="D13" s="187">
        <v>1</v>
      </c>
      <c r="E13" s="172">
        <v>4</v>
      </c>
      <c r="F13" s="170">
        <v>5</v>
      </c>
      <c r="G13" s="193">
        <v>7</v>
      </c>
      <c r="I13" s="198">
        <f>GETPIVOTDATA("RADICADO",$B$2,"Nombre del área ","DIRECCIÓN DE CONTRATACIÓN","RADICADO","SI")/GETPIVOTDATA("RADICADO",$B$2,"Nombre del área ","DIRECCIÓN DE CONTRATACIÓN")</f>
        <v>0.7142857142857143</v>
      </c>
      <c r="J13" s="175">
        <f>GETPIVOTDATA("RADICADO",$B$2,"Nombre del área ","DIRECCIÓN DE CONTRATACIÓN","RADICADO","SI","SUSCRITO","SI")/GETPIVOTDATA("RADICADO",$B$2,"Nombre del área ","DIRECCIÓN DE CONTRATACIÓN")</f>
        <v>0.5714285714285714</v>
      </c>
    </row>
    <row r="14" spans="2:10" ht="15.75" thickBot="1" x14ac:dyDescent="0.3">
      <c r="B14" s="188" t="s">
        <v>652</v>
      </c>
      <c r="C14" s="192">
        <v>1</v>
      </c>
      <c r="D14" s="187"/>
      <c r="E14" s="172"/>
      <c r="F14" s="170"/>
      <c r="G14" s="193">
        <v>1</v>
      </c>
      <c r="I14" s="198">
        <f>GETPIVOTDATA("RADICADO",$B$2,"Nombre del área ","DIRECCION DE CONTROL DEL INVENTARIO","RADICADO","SI")/GETPIVOTDATA("RADICADO",$B$2,"Nombre del área ","DIRECCION DE CONTROL DEL INVENTARIO")</f>
        <v>0</v>
      </c>
      <c r="J14" s="175">
        <f>GETPIVOTDATA("RADICADO",$B$2,"Nombre del área ","DIRECCION DE CONTROL DEL INVENTARIO","RADICADO","SI","SUSCRITO","SI")/GETPIVOTDATA("RADICADO",$B$2,"Nombre del área ","DIRECCION DE CONTROL DEL INVENTARIO")</f>
        <v>0</v>
      </c>
    </row>
    <row r="15" spans="2:10" ht="15.75" thickBot="1" x14ac:dyDescent="0.3">
      <c r="B15" s="188" t="s">
        <v>564</v>
      </c>
      <c r="C15" s="192">
        <v>3</v>
      </c>
      <c r="D15" s="187"/>
      <c r="E15" s="172"/>
      <c r="F15" s="170"/>
      <c r="G15" s="193">
        <v>3</v>
      </c>
      <c r="I15" s="198">
        <f>GETPIVOTDATA("RADICADO",$B$2,"Nombre del área ","DIRECCIÓN DE PLANEACIÓN Y PROSPECTIVA","RADICADO","SI")/GETPIVOTDATA("RADICADO",$B$2,"Nombre del área ","DIRECCIÓN DE PLANEACIÓN Y PROSPECTIVA")</f>
        <v>0</v>
      </c>
      <c r="J15" s="175">
        <f>GETPIVOTDATA("RADICADO",$B$2,"Nombre del área ","DIRECCIÓN DE PLANEACIÓN Y PROSPECTIVA","RADICADO","SI","SUSCRITO","SI")/GETPIVOTDATA("RADICADO",$B$2,"Nombre del área ","DIRECCIÓN DE PLANEACIÓN Y PROSPECTIVA")</f>
        <v>0</v>
      </c>
    </row>
    <row r="16" spans="2:10" ht="15.75" thickBot="1" x14ac:dyDescent="0.3">
      <c r="B16" s="188" t="s">
        <v>493</v>
      </c>
      <c r="C16" s="192">
        <v>4</v>
      </c>
      <c r="D16" s="187">
        <v>2</v>
      </c>
      <c r="E16" s="172"/>
      <c r="F16" s="170">
        <v>2</v>
      </c>
      <c r="G16" s="193">
        <v>6</v>
      </c>
      <c r="I16" s="198">
        <f>GETPIVOTDATA("RADICADO",$B$2,"Nombre del área ","DIRECCIÓN DE PROYECTOS","RADICADO","SI")/GETPIVOTDATA("RADICADO",$B$2,"Nombre del área ","DIRECCIÓN DE PROYECTOS")</f>
        <v>0.33333333333333331</v>
      </c>
      <c r="J16" s="175">
        <f>GETPIVOTDATA("RADICADO",$B$2,"Nombre del área ","DIRECCIÓN DE PROYECTOS","RADICADO","SI","SUSCRITO","SI")/GETPIVOTDATA("RADICADO",$B$2,"Nombre del área ","DIRECCIÓN DE PROYECTOS")</f>
        <v>0</v>
      </c>
    </row>
    <row r="17" spans="2:10" ht="15.75" thickBot="1" x14ac:dyDescent="0.3">
      <c r="B17" s="188" t="s">
        <v>190</v>
      </c>
      <c r="C17" s="192">
        <v>8</v>
      </c>
      <c r="D17" s="187">
        <v>2</v>
      </c>
      <c r="E17" s="172">
        <v>4</v>
      </c>
      <c r="F17" s="170">
        <v>6</v>
      </c>
      <c r="G17" s="193">
        <v>14</v>
      </c>
      <c r="I17" s="198">
        <f>GETPIVOTDATA("RADICADO",$B$2,"Nombre del área ","DIRECCIÓN DE TALENTO HUMANO","RADICADO","SI")/GETPIVOTDATA("RADICADO",$B$2,"Nombre del área ","DIRECCIÓN DE TALENTO HUMANO")</f>
        <v>0.42857142857142855</v>
      </c>
      <c r="J17" s="175">
        <f>GETPIVOTDATA("RADICADO",$B$2,"Nombre del área ","DIRECCIÓN DE TALENTO HUMANO","RADICADO","SI","SUSCRITO","SI")/GETPIVOTDATA("RADICADO",$B$2,"Nombre del área ","DIRECCIÓN DE TALENTO HUMANO")</f>
        <v>0.2857142857142857</v>
      </c>
    </row>
    <row r="18" spans="2:10" ht="15.75" thickBot="1" x14ac:dyDescent="0.3">
      <c r="B18" s="188" t="s">
        <v>245</v>
      </c>
      <c r="C18" s="192">
        <v>3</v>
      </c>
      <c r="D18" s="187">
        <v>1</v>
      </c>
      <c r="E18" s="172"/>
      <c r="F18" s="170">
        <v>1</v>
      </c>
      <c r="G18" s="193">
        <v>4</v>
      </c>
      <c r="I18" s="198">
        <f>GETPIVOTDATA("RADICADO",$B$2,"Nombre del área ","DIRECCIÓN FINANCIERA","RADICADO","SI")/GETPIVOTDATA("RADICADO",$B$2,"Nombre del área ","DIRECCIÓN FINANCIERA")</f>
        <v>0.25</v>
      </c>
      <c r="J18" s="175">
        <f>GETPIVOTDATA("RADICADO",$B$2,"Nombre del área ","DIRECCIÓN FINANCIERA","RADICADO","SI","SUSCRITO","SI")/GETPIVOTDATA("RADICADO",$B$2,"Nombre del área ","DIRECCIÓN FINANCIERA")</f>
        <v>0</v>
      </c>
    </row>
    <row r="19" spans="2:10" ht="15.75" thickBot="1" x14ac:dyDescent="0.3">
      <c r="B19" s="188" t="s">
        <v>424</v>
      </c>
      <c r="C19" s="192">
        <v>3</v>
      </c>
      <c r="D19" s="187"/>
      <c r="E19" s="172"/>
      <c r="F19" s="170"/>
      <c r="G19" s="193">
        <v>3</v>
      </c>
      <c r="I19" s="198">
        <f>GETPIVOTDATA("RADICADO",$B$2,"Nombre del área ","DIRECCION PARA LA DEMOCRATIZACION DE ACTIVOS MUEBLES ","RADICADO","SI")/GETPIVOTDATA("RADICADO",$B$2,"Nombre del área ","DIRECCION PARA LA DEMOCRATIZACION DE ACTIVOS MUEBLES ")</f>
        <v>0</v>
      </c>
      <c r="J19" s="175">
        <f>GETPIVOTDATA("RADICADO",$B$2,"Nombre del área ","DIRECCION PARA LA DEMOCRATIZACION DE ACTIVOS MUEBLES ","RADICADO","SI","SUSCRITO","SI")/GETPIVOTDATA("RADICADO",$B$2,"Nombre del área ","DIRECCION PARA LA DEMOCRATIZACION DE ACTIVOS MUEBLES ")</f>
        <v>0</v>
      </c>
    </row>
    <row r="20" spans="2:10" ht="15.75" thickBot="1" x14ac:dyDescent="0.3">
      <c r="B20" s="188" t="s">
        <v>590</v>
      </c>
      <c r="C20" s="192">
        <v>3</v>
      </c>
      <c r="D20" s="187"/>
      <c r="E20" s="172"/>
      <c r="F20" s="170"/>
      <c r="G20" s="193">
        <v>3</v>
      </c>
      <c r="I20" s="198">
        <f>GETPIVOTDATA("RADICADO",$B$2,"Nombre del área ","GERENCIA DE AUDITORIA A SOCIEDADES","RADICADO","SI")/GETPIVOTDATA("RADICADO",$B$2,"Nombre del área ","GERENCIA DE AUDITORIA A SOCIEDADES")</f>
        <v>0</v>
      </c>
      <c r="J20" s="175">
        <f>GETPIVOTDATA("RADICADO",$B$2,"Nombre del área ","GERENCIA DE AUDITORIA A SOCIEDADES","RADICADO","SI","SUSCRITO","SI")/GETPIVOTDATA("RADICADO",$B$2,"Nombre del área ","GERENCIA DE AUDITORIA A SOCIEDADES")</f>
        <v>0</v>
      </c>
    </row>
    <row r="21" spans="2:10" ht="15.75" thickBot="1" x14ac:dyDescent="0.3">
      <c r="B21" s="188" t="s">
        <v>377</v>
      </c>
      <c r="C21" s="192">
        <v>7</v>
      </c>
      <c r="D21" s="187"/>
      <c r="E21" s="172"/>
      <c r="F21" s="170"/>
      <c r="G21" s="193">
        <v>7</v>
      </c>
      <c r="I21" s="198">
        <f>GETPIVOTDATA("RADICADO",$B$2,"Nombre del área ","GERENCIA DE DEPOSITARIOS, MANDATARIOS Y LIQUIDADORES","RADICADO","SI")/GETPIVOTDATA("RADICADO",$B$2,"Nombre del área ","GERENCIA DE DEPOSITARIOS, MANDATARIOS Y LIQUIDADORES")</f>
        <v>0</v>
      </c>
      <c r="J21" s="175">
        <f>GETPIVOTDATA("RADICADO",$B$2,"Nombre del área ","GERENCIA DE DEPOSITARIOS, MANDATARIOS Y LIQUIDADORES","RADICADO","SI","SUSCRITO","SI")/GETPIVOTDATA("RADICADO",$B$2,"Nombre del área ","GERENCIA DE DEPOSITARIOS, MANDATARIOS Y LIQUIDADORES")</f>
        <v>0</v>
      </c>
    </row>
    <row r="22" spans="2:10" ht="15.75" thickBot="1" x14ac:dyDescent="0.3">
      <c r="B22" s="188" t="s">
        <v>269</v>
      </c>
      <c r="C22" s="192">
        <v>5</v>
      </c>
      <c r="D22" s="187"/>
      <c r="E22" s="172">
        <v>2</v>
      </c>
      <c r="F22" s="170">
        <v>2</v>
      </c>
      <c r="G22" s="193">
        <v>7</v>
      </c>
      <c r="I22" s="198">
        <f>GETPIVOTDATA("RADICADO",$B$2,"Nombre del área ","OFICINA DE INTEGRIDAD, ANTICORRUPCIÓN Y CUMPLIMIENTO","RADICADO","SI")/GETPIVOTDATA("RADICADO",$B$2,"Nombre del área ","OFICINA DE INTEGRIDAD, ANTICORRUPCIÓN Y CUMPLIMIENTO")</f>
        <v>0.2857142857142857</v>
      </c>
      <c r="J22" s="175">
        <f>GETPIVOTDATA("RADICADO",$B$2,"Nombre del área ","OFICINA DE INTEGRIDAD, ANTICORRUPCIÓN Y CUMPLIMIENTO","RADICADO","SI","SUSCRITO","SI")/GETPIVOTDATA("RADICADO",$B$2,"Nombre del área ","OFICINA DE INTEGRIDAD, ANTICORRUPCIÓN Y CUMPLIMIENTO")</f>
        <v>0.2857142857142857</v>
      </c>
    </row>
    <row r="23" spans="2:10" ht="15.75" thickBot="1" x14ac:dyDescent="0.3">
      <c r="B23" s="188" t="s">
        <v>279</v>
      </c>
      <c r="C23" s="192">
        <v>4</v>
      </c>
      <c r="D23" s="187"/>
      <c r="E23" s="172"/>
      <c r="F23" s="170"/>
      <c r="G23" s="193">
        <v>4</v>
      </c>
      <c r="I23" s="198">
        <f>GETPIVOTDATA("RADICADO",$B$2,"Nombre del área ","OFICINA DE PRENSA Y COMUNICACIONES","RADICADO","SI")/GETPIVOTDATA("RADICADO",$B$2,"Nombre del área ","OFICINA DE PRENSA Y COMUNICACIONES")</f>
        <v>0</v>
      </c>
      <c r="J23" s="175">
        <f>GETPIVOTDATA("RADICADO",$B$2,"Nombre del área ","OFICINA DE PRENSA Y COMUNICACIONES","RADICADO","SI","SUSCRITO","SI")/GETPIVOTDATA("RADICADO",$B$2,"Nombre del área ","OFICINA DE PRENSA Y COMUNICACIONES")</f>
        <v>0</v>
      </c>
    </row>
    <row r="24" spans="2:10" ht="15.75" thickBot="1" x14ac:dyDescent="0.3">
      <c r="B24" s="188" t="s">
        <v>302</v>
      </c>
      <c r="C24" s="192">
        <v>9</v>
      </c>
      <c r="D24" s="187">
        <v>6</v>
      </c>
      <c r="E24" s="172"/>
      <c r="F24" s="170">
        <v>6</v>
      </c>
      <c r="G24" s="193">
        <v>15</v>
      </c>
      <c r="I24" s="198">
        <f>GETPIVOTDATA("RADICADO",$B$2,"Nombre del área ","OFICINA DE TECNOLOGÍAS Y SISTEMAS DE LA INFORMACIÓN","RADICADO","SI")/GETPIVOTDATA("RADICADO",$B$2,"Nombre del área ","OFICINA DE TECNOLOGÍAS Y SISTEMAS DE LA INFORMACIÓN")</f>
        <v>0.4</v>
      </c>
      <c r="J24" s="175">
        <f>GETPIVOTDATA("RADICADO",$B$2,"Nombre del área ","OFICINA DE TECNOLOGÍAS Y SISTEMAS DE LA INFORMACIÓN","RADICADO","SI","SUSCRITO","SI")/GETPIVOTDATA("RADICADO",$B$2,"Nombre del área ","OFICINA DE TECNOLOGÍAS Y SISTEMAS DE LA INFORMACIÓN")</f>
        <v>0</v>
      </c>
    </row>
    <row r="25" spans="2:10" ht="15.75" thickBot="1" x14ac:dyDescent="0.3">
      <c r="B25" s="188" t="s">
        <v>343</v>
      </c>
      <c r="C25" s="192">
        <v>1</v>
      </c>
      <c r="D25" s="187"/>
      <c r="E25" s="172"/>
      <c r="F25" s="170"/>
      <c r="G25" s="193">
        <v>1</v>
      </c>
      <c r="I25" s="198">
        <f>GETPIVOTDATA("RADICADO",$B$2,"Nombre del área ","OFICINA JURÍDICA","RADICADO","SI")/GETPIVOTDATA("RADICADO",$B$2,"Nombre del área ","OFICINA JURÍDICA")</f>
        <v>0</v>
      </c>
      <c r="J25" s="175">
        <f>GETPIVOTDATA("RADICADO",$B$2,"Nombre del área ","OFICINA JURÍDICA","RADICADO","SI","SUSCRITO","SI")/GETPIVOTDATA("RADICADO",$B$2,"Nombre del área ","OFICINA JURÍDICA")</f>
        <v>0</v>
      </c>
    </row>
    <row r="26" spans="2:10" ht="15.75" thickBot="1" x14ac:dyDescent="0.3">
      <c r="B26" s="188" t="s">
        <v>447</v>
      </c>
      <c r="C26" s="192">
        <v>1</v>
      </c>
      <c r="D26" s="187"/>
      <c r="E26" s="172">
        <v>4</v>
      </c>
      <c r="F26" s="170">
        <v>4</v>
      </c>
      <c r="G26" s="193">
        <v>5</v>
      </c>
      <c r="I26" s="198">
        <f>GETPIVOTDATA("RADICADO",$B$2,"Nombre del área ","VICEPRESIDENCIA CORPORATIVA","RADICADO","SI")/GETPIVOTDATA("RADICADO",$B$2,"Nombre del área ","VICEPRESIDENCIA CORPORATIVA")</f>
        <v>0.8</v>
      </c>
      <c r="J26" s="175">
        <f>GETPIVOTDATA("RADICADO",$B$2,"Nombre del área ","VICEPRESIDENCIA CORPORATIVA","RADICADO","SI","SUSCRITO","SI")/GETPIVOTDATA("RADICADO",$B$2,"Nombre del área ","VICEPRESIDENCIA CORPORATIVA")</f>
        <v>0.8</v>
      </c>
    </row>
    <row r="27" spans="2:10" ht="15.75" thickBot="1" x14ac:dyDescent="0.3">
      <c r="B27" s="188" t="s">
        <v>349</v>
      </c>
      <c r="C27" s="192">
        <v>2</v>
      </c>
      <c r="D27" s="187">
        <v>3</v>
      </c>
      <c r="E27" s="172"/>
      <c r="F27" s="170">
        <v>3</v>
      </c>
      <c r="G27" s="193">
        <v>5</v>
      </c>
      <c r="I27" s="198">
        <f>GETPIVOTDATA("RADICADO",$B$2,"Nombre del área ","VICEPRESIDENCIA DE ACTIVOS MUEBLES E INMUEBLES","RADICADO","SI")/GETPIVOTDATA("RADICADO",$B$2,"Nombre del área ","VICEPRESIDENCIA DE ACTIVOS MUEBLES E INMUEBLES")</f>
        <v>0.6</v>
      </c>
      <c r="J27" s="175">
        <f>GETPIVOTDATA("RADICADO",$B$2,"Nombre del área ","VICEPRESIDENCIA DE ACTIVOS MUEBLES E INMUEBLES","RADICADO","SI","SUSCRITO","SI")/GETPIVOTDATA("RADICADO",$B$2,"Nombre del área ","VICEPRESIDENCIA DE ACTIVOS MUEBLES E INMUEBLES")</f>
        <v>0</v>
      </c>
    </row>
    <row r="28" spans="2:10" ht="15.75" thickBot="1" x14ac:dyDescent="0.3">
      <c r="B28" s="188" t="s">
        <v>356</v>
      </c>
      <c r="C28" s="192"/>
      <c r="D28" s="187">
        <v>1</v>
      </c>
      <c r="E28" s="172"/>
      <c r="F28" s="170">
        <v>1</v>
      </c>
      <c r="G28" s="193">
        <v>1</v>
      </c>
      <c r="I28" s="198">
        <f>GETPIVOTDATA("RADICADO",$B$2,"Nombre del área ","VICEPRESIDENCIA DE SOCIEDADES","RADICADO","SI")/GETPIVOTDATA("RADICADO",$B$2,"Nombre del área ","VICEPRESIDENCIA DE SOCIEDADES")</f>
        <v>1</v>
      </c>
      <c r="J28" s="175">
        <f>GETPIVOTDATA("RADICADO",$B$2,"Nombre del área ","VICEPRESIDENCIA DE SOCIEDADES","RADICADO","SI","SUSCRITO","SI")/GETPIVOTDATA("RADICADO",$B$2,"Nombre del área ","VICEPRESIDENCIA DE SOCIEDADES")</f>
        <v>0</v>
      </c>
    </row>
    <row r="29" spans="2:10" ht="15.75" thickBot="1" x14ac:dyDescent="0.3">
      <c r="B29" s="188" t="s">
        <v>548</v>
      </c>
      <c r="C29" s="192"/>
      <c r="D29" s="187"/>
      <c r="E29" s="172">
        <v>1</v>
      </c>
      <c r="F29" s="170">
        <v>1</v>
      </c>
      <c r="G29" s="193">
        <v>1</v>
      </c>
      <c r="I29" s="198">
        <f>GETPIVOTDATA("RADICADO",$B$2,"Nombre del área ","VICEPRESIDENCIA OPERATIVA","RADICADO","SI")/GETPIVOTDATA("RADICADO",$B$2,"Nombre del área ","VICEPRESIDENCIA OPERATIVA")</f>
        <v>1</v>
      </c>
      <c r="J29" s="175">
        <f>GETPIVOTDATA("RADICADO",$B$2,"Nombre del área ","VICEPRESIDENCIA OPERATIVA","RADICADO","SI","SUSCRITO","SI")/GETPIVOTDATA("RADICADO",$B$2,"Nombre del área ","VICEPRESIDENCIA OPERATIVA")</f>
        <v>1</v>
      </c>
    </row>
    <row r="30" spans="2:10" ht="15.75" thickBot="1" x14ac:dyDescent="0.3">
      <c r="B30" s="188" t="s">
        <v>393</v>
      </c>
      <c r="C30" s="192">
        <v>1</v>
      </c>
      <c r="D30" s="187"/>
      <c r="E30" s="172"/>
      <c r="F30" s="170"/>
      <c r="G30" s="193">
        <v>1</v>
      </c>
      <c r="I30" s="199">
        <f>GETPIVOTDATA("RADICADO",$B$2,"Nombre del área ","VICEPRESIDENCIA OPERATIVA / DIRECCIONES TERRITORIALES / DIRECCIÓN DE CONTROL DE INVENTARIO","RADICADO","SI")/GETPIVOTDATA("RADICADO",$B$2,"Nombre del área ","VICEPRESIDENCIA OPERATIVA / DIRECCIONES TERRITORIALES / DIRECCIÓN DE CONTROL DE INVENTARIO")</f>
        <v>0</v>
      </c>
      <c r="J30" s="176">
        <f>GETPIVOTDATA("RADICADO",$B$2,"Nombre del área ","VICEPRESIDENCIA OPERATIVA / DIRECCIONES TERRITORIALES / DIRECCIÓN DE CONTROL DE INVENTARIO","RADICADO","SI","SUSCRITO","SI")/GETPIVOTDATA("RADICADO",$B$2,"Nombre del área ","VICEPRESIDENCIA OPERATIVA / DIRECCIONES TERRITORIALES / DIRECCIÓN DE CONTROL DE INVENTARIO")</f>
        <v>0</v>
      </c>
    </row>
    <row r="31" spans="2:10" ht="15.75" thickBot="1" x14ac:dyDescent="0.3">
      <c r="B31" s="184" t="s">
        <v>522</v>
      </c>
      <c r="C31" s="191">
        <v>75</v>
      </c>
      <c r="D31" s="185">
        <v>36</v>
      </c>
      <c r="E31" s="185">
        <v>28</v>
      </c>
      <c r="F31" s="191">
        <v>64</v>
      </c>
      <c r="G31" s="194">
        <v>139</v>
      </c>
    </row>
    <row r="33" ht="15.75" thickBot="1" x14ac:dyDescent="0.3"/>
    <row r="34" ht="15.75" thickBot="1" x14ac:dyDescent="0.3"/>
    <row r="35" ht="15.75" thickBot="1" x14ac:dyDescent="0.3"/>
    <row r="36" ht="15.75" thickBot="1" x14ac:dyDescent="0.3"/>
    <row r="37" ht="15.75" thickBot="1" x14ac:dyDescent="0.3"/>
    <row r="38" ht="15.75" thickBot="1" x14ac:dyDescent="0.3"/>
    <row r="39" ht="15.75" thickBot="1" x14ac:dyDescent="0.3"/>
    <row r="40" ht="15.75" thickBot="1" x14ac:dyDescent="0.3"/>
    <row r="41" ht="15.75" thickBot="1" x14ac:dyDescent="0.3"/>
    <row r="42" ht="15.75" thickBot="1" x14ac:dyDescent="0.3"/>
    <row r="43" ht="15.75" thickBot="1" x14ac:dyDescent="0.3"/>
    <row r="44" ht="15.75" thickBot="1" x14ac:dyDescent="0.3"/>
    <row r="45" ht="15.75" thickBot="1" x14ac:dyDescent="0.3"/>
    <row r="46" ht="15.75" thickBot="1" x14ac:dyDescent="0.3"/>
    <row r="47" ht="15.75" thickBot="1" x14ac:dyDescent="0.3"/>
    <row r="48" ht="15.75" thickBot="1" x14ac:dyDescent="0.3"/>
    <row r="49" ht="15.75" thickBot="1" x14ac:dyDescent="0.3"/>
    <row r="50" ht="15.75" thickBot="1" x14ac:dyDescent="0.3"/>
    <row r="51" ht="15.75" thickBot="1" x14ac:dyDescent="0.3"/>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EF713-8FDC-4DE7-B611-E4E0B922B3B6}">
  <dimension ref="B1:J16"/>
  <sheetViews>
    <sheetView workbookViewId="0">
      <selection activeCell="C2" sqref="C2"/>
    </sheetView>
  </sheetViews>
  <sheetFormatPr baseColWidth="10" defaultRowHeight="15" x14ac:dyDescent="0.25"/>
  <cols>
    <col min="1" max="1" width="3.42578125" customWidth="1"/>
    <col min="2" max="2" width="29.140625" bestFit="1" customWidth="1"/>
    <col min="3" max="3" width="22.85546875" bestFit="1" customWidth="1"/>
    <col min="4" max="4" width="4.5703125" bestFit="1" customWidth="1"/>
    <col min="5" max="5" width="3" bestFit="1" customWidth="1"/>
    <col min="6" max="6" width="7.5703125" bestFit="1" customWidth="1"/>
    <col min="7" max="7" width="12.5703125" bestFit="1" customWidth="1"/>
    <col min="8" max="8" width="3.5703125" customWidth="1"/>
    <col min="9" max="9" width="16" customWidth="1"/>
    <col min="10" max="10" width="17.28515625" style="173" customWidth="1"/>
  </cols>
  <sheetData>
    <row r="1" spans="2:10" ht="15.75" thickBot="1" x14ac:dyDescent="0.3"/>
    <row r="2" spans="2:10" ht="45.75" thickBot="1" x14ac:dyDescent="0.3">
      <c r="B2" s="261" t="s">
        <v>541</v>
      </c>
      <c r="C2" s="140" t="s">
        <v>521</v>
      </c>
      <c r="D2" s="207"/>
      <c r="E2" s="137"/>
      <c r="F2" s="203"/>
      <c r="G2" s="138"/>
    </row>
    <row r="3" spans="2:10" ht="15.75" thickBot="1" x14ac:dyDescent="0.3">
      <c r="B3" s="262"/>
      <c r="C3" s="137" t="s">
        <v>50</v>
      </c>
      <c r="D3" s="137" t="s">
        <v>55</v>
      </c>
      <c r="E3" s="138"/>
      <c r="F3" s="141" t="s">
        <v>678</v>
      </c>
      <c r="G3" s="141" t="s">
        <v>522</v>
      </c>
      <c r="I3" s="177" t="s">
        <v>682</v>
      </c>
      <c r="J3" s="219" t="s">
        <v>681</v>
      </c>
    </row>
    <row r="4" spans="2:10" ht="15.75" thickBot="1" x14ac:dyDescent="0.3">
      <c r="B4" s="85" t="s">
        <v>523</v>
      </c>
      <c r="C4" s="130"/>
      <c r="D4" s="292" t="s">
        <v>50</v>
      </c>
      <c r="E4" s="216" t="s">
        <v>55</v>
      </c>
      <c r="F4" s="142"/>
      <c r="G4" s="142"/>
      <c r="I4" s="220"/>
      <c r="J4" s="221"/>
    </row>
    <row r="5" spans="2:10" ht="15.75" thickBot="1" x14ac:dyDescent="0.3">
      <c r="B5" s="204" t="s">
        <v>46</v>
      </c>
      <c r="C5" s="211"/>
      <c r="D5" s="210"/>
      <c r="E5" s="202">
        <v>2</v>
      </c>
      <c r="F5" s="211">
        <v>2</v>
      </c>
      <c r="G5" s="211">
        <v>2</v>
      </c>
      <c r="I5" s="215">
        <f>GETPIVOTDATA("Fecha estimada de inicio de proceso de selección (mes)",$B$2,"Fecha estimada de inicio de proceso de selección (mes)","ENERO","RADICADO","SI")/GETPIVOTDATA("Fecha estimada de inicio de proceso de selección (mes)",$B$2,"Fecha estimada de inicio de proceso de selección (mes)","ENERO")</f>
        <v>1</v>
      </c>
      <c r="J5" s="212">
        <f>GETPIVOTDATA("Fecha estimada de inicio de proceso de selección (mes)",$B$2,"Fecha estimada de inicio de proceso de selección (mes)","ENERO","RADICADO","SI","SUSCRITO","SI")/GETPIVOTDATA("Fecha estimada de inicio de proceso de selección (mes)",$B$2,"Fecha estimada de inicio de proceso de selección (mes)","ENERO")</f>
        <v>1</v>
      </c>
    </row>
    <row r="6" spans="2:10" ht="15.75" thickBot="1" x14ac:dyDescent="0.3">
      <c r="B6" s="205" t="s">
        <v>59</v>
      </c>
      <c r="C6" s="211">
        <v>27</v>
      </c>
      <c r="D6" s="210">
        <v>10</v>
      </c>
      <c r="E6" s="202">
        <v>13</v>
      </c>
      <c r="F6" s="211">
        <v>23</v>
      </c>
      <c r="G6" s="211">
        <v>50</v>
      </c>
      <c r="I6" s="175">
        <f>GETPIVOTDATA("Fecha estimada de inicio de proceso de selección (mes)",$B$2,"Fecha estimada de inicio de proceso de selección (mes)","FEBRERO","RADICADO","SI")/GETPIVOTDATA("Fecha estimada de inicio de proceso de selección (mes)",$B$2,"Fecha estimada de inicio de proceso de selección (mes)","FEBRERO")</f>
        <v>0.46</v>
      </c>
      <c r="J6" s="213">
        <f>GETPIVOTDATA("Fecha estimada de inicio de proceso de selección (mes)",$B$2,"Fecha estimada de inicio de proceso de selección (mes)","FEBRERO","RADICADO","SI","SUSCRITO","SI")/GETPIVOTDATA("Fecha estimada de inicio de proceso de selección (mes)",$B$2,"Fecha estimada de inicio de proceso de selección (mes)","FEBRERO")</f>
        <v>0.26</v>
      </c>
    </row>
    <row r="7" spans="2:10" ht="15.75" thickBot="1" x14ac:dyDescent="0.3">
      <c r="B7" s="205" t="s">
        <v>87</v>
      </c>
      <c r="C7" s="211">
        <v>20</v>
      </c>
      <c r="D7" s="210">
        <v>22</v>
      </c>
      <c r="E7" s="202">
        <v>7</v>
      </c>
      <c r="F7" s="211">
        <v>29</v>
      </c>
      <c r="G7" s="211">
        <v>49</v>
      </c>
      <c r="I7" s="175">
        <f>GETPIVOTDATA("Fecha estimada de inicio de proceso de selección (mes)",$B$2,"Fecha estimada de inicio de proceso de selección (mes)","MARZO","RADICADO","SI")/GETPIVOTDATA("Fecha estimada de inicio de proceso de selección (mes)",$B$2,"Fecha estimada de inicio de proceso de selección (mes)","MARZO")</f>
        <v>0.59183673469387754</v>
      </c>
      <c r="J7" s="213">
        <f>GETPIVOTDATA("Fecha estimada de inicio de proceso de selección (mes)",$B$2,"Fecha estimada de inicio de proceso de selección (mes)","MARZO","RADICADO","SI","SUSCRITO","SI")/GETPIVOTDATA("Fecha estimada de inicio de proceso de selección (mes)",$B$2,"Fecha estimada de inicio de proceso de selección (mes)","MARZO")</f>
        <v>0.14285714285714285</v>
      </c>
    </row>
    <row r="8" spans="2:10" ht="15.75" thickBot="1" x14ac:dyDescent="0.3">
      <c r="B8" s="205" t="s">
        <v>79</v>
      </c>
      <c r="C8" s="211">
        <v>6</v>
      </c>
      <c r="D8" s="210">
        <v>1</v>
      </c>
      <c r="E8" s="202">
        <v>3</v>
      </c>
      <c r="F8" s="211">
        <v>4</v>
      </c>
      <c r="G8" s="211">
        <v>10</v>
      </c>
      <c r="I8" s="175">
        <f>GETPIVOTDATA("Fecha estimada de inicio de proceso de selección (mes)",$B$2,"Fecha estimada de inicio de proceso de selección (mes)","ABRIL","RADICADO","SI")/GETPIVOTDATA("Fecha estimada de inicio de proceso de selección (mes)",$B$2,"Fecha estimada de inicio de proceso de selección (mes)","ABRIL")</f>
        <v>0.4</v>
      </c>
      <c r="J8" s="213">
        <f>GETPIVOTDATA("Fecha estimada de inicio de proceso de selección (mes)",$B$2,"Fecha estimada de inicio de proceso de selección (mes)","ABRIL","RADICADO","SI","SUSCRITO","SI")/GETPIVOTDATA("Fecha estimada de inicio de proceso de selección (mes)",$B$2,"Fecha estimada de inicio de proceso de selección (mes)","ABRIL")</f>
        <v>0.3</v>
      </c>
    </row>
    <row r="9" spans="2:10" ht="15.75" thickBot="1" x14ac:dyDescent="0.3">
      <c r="B9" s="205" t="s">
        <v>121</v>
      </c>
      <c r="C9" s="211">
        <v>13</v>
      </c>
      <c r="D9" s="210">
        <v>3</v>
      </c>
      <c r="E9" s="202">
        <v>3</v>
      </c>
      <c r="F9" s="211">
        <v>6</v>
      </c>
      <c r="G9" s="211">
        <v>19</v>
      </c>
      <c r="I9" s="175">
        <f>GETPIVOTDATA("Fecha estimada de inicio de proceso de selección (mes)",$B$2,"Fecha estimada de inicio de proceso de selección (mes)","MAYO","RADICADO","SI")/GETPIVOTDATA("Fecha estimada de inicio de proceso de selección (mes)",$B$2,"Fecha estimada de inicio de proceso de selección (mes)","MAYO")</f>
        <v>0.31578947368421051</v>
      </c>
      <c r="J9" s="213">
        <f>GETPIVOTDATA("Fecha estimada de inicio de proceso de selección (mes)",$B$2,"Fecha estimada de inicio de proceso de selección (mes)","MAYO","RADICADO","SI","SUSCRITO","SI")/GETPIVOTDATA("Fecha estimada de inicio de proceso de selección (mes)",$B$2,"Fecha estimada de inicio de proceso de selección (mes)","MAYO")</f>
        <v>0.15789473684210525</v>
      </c>
    </row>
    <row r="10" spans="2:10" ht="15.75" thickBot="1" x14ac:dyDescent="0.3">
      <c r="B10" s="205" t="s">
        <v>282</v>
      </c>
      <c r="C10" s="211">
        <v>3</v>
      </c>
      <c r="D10" s="210"/>
      <c r="E10" s="202"/>
      <c r="F10" s="211"/>
      <c r="G10" s="211">
        <v>3</v>
      </c>
      <c r="I10" s="175">
        <f>GETPIVOTDATA("Fecha estimada de inicio de proceso de selección (mes)",$B$2,"Fecha estimada de inicio de proceso de selección (mes)","JUNIO","RADICADO","SI")/GETPIVOTDATA("Fecha estimada de inicio de proceso de selección (mes)",$B$2,"Fecha estimada de inicio de proceso de selección (mes)","JUNIO")</f>
        <v>0</v>
      </c>
      <c r="J10" s="213">
        <f>GETPIVOTDATA("Fecha estimada de inicio de proceso de selección (mes)",$B$2,"Fecha estimada de inicio de proceso de selección (mes)","JUNIO","RADICADO","SI","SUSCRITO","SI")/GETPIVOTDATA("Fecha estimada de inicio de proceso de selección (mes)",$B$2,"Fecha estimada de inicio de proceso de selección (mes)","JUNIO")</f>
        <v>0</v>
      </c>
    </row>
    <row r="11" spans="2:10" ht="15.75" thickBot="1" x14ac:dyDescent="0.3">
      <c r="B11" s="205" t="s">
        <v>224</v>
      </c>
      <c r="C11" s="211">
        <v>5</v>
      </c>
      <c r="D11" s="210"/>
      <c r="E11" s="202"/>
      <c r="F11" s="211"/>
      <c r="G11" s="211">
        <v>5</v>
      </c>
      <c r="I11" s="175">
        <f>GETPIVOTDATA("Fecha estimada de inicio de proceso de selección (mes)",$B$2,"Fecha estimada de inicio de proceso de selección (mes)","JULIO","RADICADO","SI")/GETPIVOTDATA("Fecha estimada de inicio de proceso de selección (mes)",$B$2,"Fecha estimada de inicio de proceso de selección (mes)","JULIO")</f>
        <v>0</v>
      </c>
      <c r="J11" s="213">
        <f>GETPIVOTDATA("Fecha estimada de inicio de proceso de selección (mes)",$B$2,"Fecha estimada de inicio de proceso de selección (mes)","JULIO","RADICADO","SI","SUSCRITO","SI")/GETPIVOTDATA("Fecha estimada de inicio de proceso de selección (mes)",$B$2,"Fecha estimada de inicio de proceso de selección (mes)","JULIO")</f>
        <v>0</v>
      </c>
    </row>
    <row r="12" spans="2:10" ht="15.75" thickBot="1" x14ac:dyDescent="0.3">
      <c r="B12" s="206" t="s">
        <v>231</v>
      </c>
      <c r="C12" s="211">
        <v>1</v>
      </c>
      <c r="D12" s="210"/>
      <c r="E12" s="202"/>
      <c r="F12" s="211"/>
      <c r="G12" s="211">
        <v>1</v>
      </c>
      <c r="I12" s="176">
        <f>GETPIVOTDATA("Fecha estimada de inicio de proceso de selección (mes)",$B$2,"Fecha estimada de inicio de proceso de selección (mes)","SEPTIEMBRE","RADICADO","SI")/GETPIVOTDATA("Fecha estimada de inicio de proceso de selección (mes)",$B$2,"Fecha estimada de inicio de proceso de selección (mes)","SEPTIEMBRE")</f>
        <v>0</v>
      </c>
      <c r="J12" s="214">
        <f>GETPIVOTDATA("Fecha estimada de inicio de proceso de selección (mes)",$B$2,"Fecha estimada de inicio de proceso de selección (mes)","SEPTIEMBRE","RADICADO","SI","SUSCRITO","SI")/GETPIVOTDATA("Fecha estimada de inicio de proceso de selección (mes)",$B$2,"Fecha estimada de inicio de proceso de selección (mes)","SEPTIEMBRE")</f>
        <v>0</v>
      </c>
    </row>
    <row r="13" spans="2:10" ht="15.75" thickBot="1" x14ac:dyDescent="0.3">
      <c r="B13" s="86" t="s">
        <v>522</v>
      </c>
      <c r="C13" s="211">
        <v>75</v>
      </c>
      <c r="D13" s="208">
        <v>36</v>
      </c>
      <c r="E13" s="209">
        <v>28</v>
      </c>
      <c r="F13" s="211">
        <v>64</v>
      </c>
      <c r="G13" s="131">
        <v>139</v>
      </c>
    </row>
    <row r="16" spans="2:10" ht="15.75" thickBot="1" x14ac:dyDescent="0.3"/>
  </sheetData>
  <mergeCells count="2">
    <mergeCell ref="I3:I4"/>
    <mergeCell ref="J3:J4"/>
  </mergeCells>
  <pageMargins left="0.7" right="0.7" top="0.75" bottom="0.75" header="0.3" footer="0.3"/>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9D7B6-3CC4-437E-9710-C43516562367}">
  <dimension ref="A1:F97"/>
  <sheetViews>
    <sheetView workbookViewId="0">
      <selection activeCell="A2" sqref="A2"/>
    </sheetView>
  </sheetViews>
  <sheetFormatPr baseColWidth="10" defaultRowHeight="15" x14ac:dyDescent="0.25"/>
  <cols>
    <col min="1" max="1" width="102.5703125" bestFit="1" customWidth="1"/>
    <col min="2" max="2" width="18.85546875" style="222" bestFit="1" customWidth="1"/>
    <col min="3" max="3" width="15.5703125" style="222" bestFit="1" customWidth="1"/>
    <col min="4" max="4" width="12" bestFit="1" customWidth="1"/>
    <col min="5" max="5" width="29.28515625" customWidth="1"/>
    <col min="6" max="6" width="24.140625" customWidth="1"/>
    <col min="7" max="8" width="13" bestFit="1" customWidth="1"/>
    <col min="9" max="9" width="13.5703125" customWidth="1"/>
    <col min="10" max="17" width="13" bestFit="1" customWidth="1"/>
    <col min="18" max="18" width="14" bestFit="1" customWidth="1"/>
    <col min="19" max="25" width="13" bestFit="1" customWidth="1"/>
    <col min="26" max="26" width="14" bestFit="1" customWidth="1"/>
    <col min="27" max="28" width="13" bestFit="1" customWidth="1"/>
    <col min="29" max="29" width="14" bestFit="1" customWidth="1"/>
    <col min="30" max="30" width="13" bestFit="1" customWidth="1"/>
    <col min="31" max="31" width="14" bestFit="1" customWidth="1"/>
    <col min="32" max="33" width="13" bestFit="1" customWidth="1"/>
    <col min="34" max="35" width="14" bestFit="1" customWidth="1"/>
    <col min="36" max="36" width="13" bestFit="1" customWidth="1"/>
    <col min="37" max="38" width="14" bestFit="1" customWidth="1"/>
    <col min="39" max="40" width="13" bestFit="1" customWidth="1"/>
    <col min="41" max="42" width="14" bestFit="1" customWidth="1"/>
    <col min="43" max="43" width="13" bestFit="1" customWidth="1"/>
    <col min="44" max="44" width="14" bestFit="1" customWidth="1"/>
    <col min="45" max="45" width="13" bestFit="1" customWidth="1"/>
    <col min="46" max="46" width="14" bestFit="1" customWidth="1"/>
    <col min="47" max="48" width="13" bestFit="1" customWidth="1"/>
    <col min="49" max="51" width="14" bestFit="1" customWidth="1"/>
    <col min="52" max="52" width="13" bestFit="1" customWidth="1"/>
    <col min="53" max="78" width="14" bestFit="1" customWidth="1"/>
    <col min="79" max="79" width="15.5703125" bestFit="1" customWidth="1"/>
    <col min="80" max="85" width="14" bestFit="1" customWidth="1"/>
    <col min="86" max="94" width="15.5703125" bestFit="1" customWidth="1"/>
    <col min="95" max="95" width="16.7109375" bestFit="1" customWidth="1"/>
    <col min="96" max="96" width="30.85546875" bestFit="1" customWidth="1"/>
    <col min="97" max="97" width="15.140625" bestFit="1" customWidth="1"/>
    <col min="98" max="99" width="8" bestFit="1" customWidth="1"/>
    <col min="100" max="110" width="9" bestFit="1" customWidth="1"/>
    <col min="111" max="111" width="13" bestFit="1" customWidth="1"/>
    <col min="112" max="112" width="9" bestFit="1" customWidth="1"/>
    <col min="113" max="113" width="13" bestFit="1" customWidth="1"/>
    <col min="114" max="114" width="9" bestFit="1" customWidth="1"/>
    <col min="115" max="116" width="13" bestFit="1" customWidth="1"/>
    <col min="117" max="118" width="9" bestFit="1" customWidth="1"/>
    <col min="119" max="119" width="13" bestFit="1" customWidth="1"/>
    <col min="120" max="121" width="9" bestFit="1" customWidth="1"/>
    <col min="122" max="123" width="13" bestFit="1" customWidth="1"/>
    <col min="124" max="125" width="9" bestFit="1" customWidth="1"/>
    <col min="126" max="126" width="14" bestFit="1" customWidth="1"/>
    <col min="127" max="129" width="9" bestFit="1" customWidth="1"/>
    <col min="130" max="130" width="13" bestFit="1" customWidth="1"/>
    <col min="131" max="133" width="9" bestFit="1" customWidth="1"/>
    <col min="134" max="134" width="13" bestFit="1" customWidth="1"/>
    <col min="135" max="135" width="9" bestFit="1" customWidth="1"/>
    <col min="136" max="136" width="13" bestFit="1" customWidth="1"/>
    <col min="137" max="143" width="9" bestFit="1" customWidth="1"/>
    <col min="144" max="144" width="13" bestFit="1" customWidth="1"/>
    <col min="145" max="146" width="9" bestFit="1" customWidth="1"/>
    <col min="147" max="147" width="14" bestFit="1" customWidth="1"/>
    <col min="148" max="151" width="9" bestFit="1" customWidth="1"/>
    <col min="152" max="157" width="10" bestFit="1" customWidth="1"/>
    <col min="158" max="158" width="13" bestFit="1" customWidth="1"/>
    <col min="159" max="159" width="10" bestFit="1" customWidth="1"/>
    <col min="160" max="160" width="14" bestFit="1" customWidth="1"/>
    <col min="161" max="161" width="10" bestFit="1" customWidth="1"/>
    <col min="162" max="162" width="14" bestFit="1" customWidth="1"/>
    <col min="163" max="165" width="10" bestFit="1" customWidth="1"/>
    <col min="166" max="166" width="14" bestFit="1" customWidth="1"/>
    <col min="167" max="174" width="10" bestFit="1" customWidth="1"/>
    <col min="175" max="175" width="14" bestFit="1" customWidth="1"/>
    <col min="176" max="182" width="10" bestFit="1" customWidth="1"/>
    <col min="183" max="191" width="11" bestFit="1" customWidth="1"/>
    <col min="192" max="192" width="12" bestFit="1" customWidth="1"/>
    <col min="193" max="193" width="30.85546875" bestFit="1" customWidth="1"/>
    <col min="194" max="194" width="32.5703125" bestFit="1" customWidth="1"/>
    <col min="195" max="195" width="20.140625" bestFit="1" customWidth="1"/>
  </cols>
  <sheetData>
    <row r="1" spans="1:6" ht="15.75" thickBot="1" x14ac:dyDescent="0.3"/>
    <row r="2" spans="1:6" s="293" customFormat="1" ht="39" customHeight="1" thickBot="1" x14ac:dyDescent="0.3">
      <c r="A2" s="320" t="s">
        <v>523</v>
      </c>
      <c r="B2" s="321" t="s">
        <v>683</v>
      </c>
      <c r="C2" s="322" t="s">
        <v>684</v>
      </c>
      <c r="E2" s="249" t="s">
        <v>685</v>
      </c>
      <c r="F2" s="250" t="s">
        <v>686</v>
      </c>
    </row>
    <row r="3" spans="1:6" ht="15.75" thickBot="1" x14ac:dyDescent="0.3">
      <c r="A3" s="252" t="s">
        <v>50</v>
      </c>
      <c r="B3" s="253">
        <v>50780762204</v>
      </c>
      <c r="C3" s="254"/>
      <c r="E3" s="258">
        <f>SUM(E4:E28)</f>
        <v>1.0000000000000002</v>
      </c>
      <c r="F3" s="259">
        <f>SUM(F4:F28)</f>
        <v>0.95386235828667898</v>
      </c>
    </row>
    <row r="4" spans="1:6" x14ac:dyDescent="0.25">
      <c r="A4" s="223" t="s">
        <v>44</v>
      </c>
      <c r="B4" s="224">
        <v>114600000</v>
      </c>
      <c r="C4" s="225"/>
      <c r="E4" s="245">
        <f>GETPIVOTDATA("Suma de Valor total estimado",$A$2,"Área","DESPACHO PRESIDENCIA","SUSCRITO","NO")/GETPIVOTDATA("Suma de Valor total estimado",$A$2,"SUSCRITO","NO")</f>
        <v>2.2567601395902829E-3</v>
      </c>
      <c r="F4" s="242">
        <f>GETPIVOTDATA("Suma de Valor total estimado",$A$2,"Área","DESPACHO PRESIDENCIA","SUSCRITO","NO")/GETPIVOTDATA("Suma de Valor total estimado",$A$2)</f>
        <v>2.1526385488369617E-3</v>
      </c>
    </row>
    <row r="5" spans="1:6" x14ac:dyDescent="0.25">
      <c r="A5" s="223" t="s">
        <v>67</v>
      </c>
      <c r="B5" s="224">
        <v>195233333</v>
      </c>
      <c r="C5" s="225"/>
      <c r="E5" s="246">
        <f>GETPIVOTDATA("Suma de Valor total estimado",$A$2,"Área","DIRECCCIÓN DE GOBIERNO, CONTROL Y DEMOCRATIZACIÓN DE SOCIEDADES","SUSCRITO","NO")/GETPIVOTDATA("Suma de Valor total estimado",$A$2,"SUSCRITO","NO")</f>
        <v>3.844631796106075E-3</v>
      </c>
      <c r="F5" s="243">
        <f>GETPIVOTDATA("Suma de Valor total estimado",$A$2,"Área","DIRECCCIÓN DE GOBIERNO, CONTROL Y DEMOCRATIZACIÓN DE SOCIEDADES","SUSCRITO","NO")/GETPIVOTDATA("Suma de Valor total estimado",$A$2)</f>
        <v>3.6672495517776904E-3</v>
      </c>
    </row>
    <row r="6" spans="1:6" x14ac:dyDescent="0.25">
      <c r="A6" s="223" t="s">
        <v>85</v>
      </c>
      <c r="B6" s="224">
        <v>867580000</v>
      </c>
      <c r="C6" s="225"/>
      <c r="E6" s="246">
        <f>GETPIVOTDATA("Suma de Valor total estimado",$A$2,"Área","DIRECCCIÓN PARA LA DEMOCRATIZACIÓN DE ACTIVOS INMUEBLES RURALES","SUSCRITO","NO")/GETPIVOTDATA("Suma de Valor total estimado",$A$2,"SUSCRITO","NO")</f>
        <v>1.7084816421516037E-2</v>
      </c>
      <c r="F6" s="243">
        <f>GETPIVOTDATA("Suma de Valor total estimado",$A$2,"Área","DIRECCCIÓN PARA LA DEMOCRATIZACIÓN DE ACTIVOS INMUEBLES RURALES","SUSCRITO","NO")/GETPIVOTDATA("Suma de Valor total estimado",$A$2)</f>
        <v>1.6296563282722262E-2</v>
      </c>
    </row>
    <row r="7" spans="1:6" x14ac:dyDescent="0.25">
      <c r="A7" s="223" t="s">
        <v>98</v>
      </c>
      <c r="B7" s="224">
        <v>259200000</v>
      </c>
      <c r="C7" s="225"/>
      <c r="E7" s="246">
        <f>GETPIVOTDATA("Suma de Valor total estimado",$A$2,"Área","DIRECCCIÓN PARA LA DEMOCRATIZACIÓN DE ACTIVOS INMUEBLES URBANOS","SUSCRITO","NO")/GETPIVOTDATA("Suma de Valor total estimado",$A$2,"SUSCRITO","NO")</f>
        <v>5.1042951848324723E-3</v>
      </c>
      <c r="F7" s="243">
        <f>GETPIVOTDATA("Suma de Valor total estimado",$A$2,"Área","DIRECCCIÓN PARA LA DEMOCRATIZACIÓN DE ACTIVOS INMUEBLES URBANOS","SUSCRITO","NO")/GETPIVOTDATA("Suma de Valor total estimado",$A$2)</f>
        <v>4.8687950423956412E-3</v>
      </c>
    </row>
    <row r="8" spans="1:6" x14ac:dyDescent="0.25">
      <c r="A8" s="223" t="s">
        <v>109</v>
      </c>
      <c r="B8" s="224">
        <v>2481735000</v>
      </c>
      <c r="C8" s="225"/>
      <c r="E8" s="246">
        <f>GETPIVOTDATA("Suma de Valor total estimado",$A$2,"Área","DIRECCION ADMINISTRATIVA","SUSCRITO","NO")/GETPIVOTDATA("Suma de Valor total estimado",$A$2,"SUSCRITO","NO")</f>
        <v>4.8871558682601138E-2</v>
      </c>
      <c r="F8" s="243">
        <f>GETPIVOTDATA("Suma de Valor total estimado",$A$2,"Área","DIRECCION ADMINISTRATIVA","SUSCRITO","NO")/GETPIVOTDATA("Suma de Valor total estimado",$A$2)</f>
        <v>4.6616740218131739E-2</v>
      </c>
    </row>
    <row r="9" spans="1:6" x14ac:dyDescent="0.25">
      <c r="A9" s="223" t="s">
        <v>163</v>
      </c>
      <c r="B9" s="224">
        <v>453151109</v>
      </c>
      <c r="C9" s="225"/>
      <c r="E9" s="246">
        <f>GETPIVOTDATA("Suma de Valor total estimado",$A$2,"Área","DIRECCIÓN COMERCIAL","SUSCRITO","NO")/GETPIVOTDATA("Suma de Valor total estimado",$A$2,"SUSCRITO","NO")</f>
        <v>8.9236767888510593E-3</v>
      </c>
      <c r="F9" s="243">
        <f>GETPIVOTDATA("Suma de Valor total estimado",$A$2,"Área","DIRECCIÓN COMERCIAL","SUSCRITO","NO")/GETPIVOTDATA("Suma de Valor total estimado",$A$2)</f>
        <v>8.51195938640157E-3</v>
      </c>
    </row>
    <row r="10" spans="1:6" x14ac:dyDescent="0.25">
      <c r="A10" s="223" t="s">
        <v>404</v>
      </c>
      <c r="B10" s="224">
        <v>12050000000</v>
      </c>
      <c r="C10" s="225"/>
      <c r="E10" s="246">
        <f>GETPIVOTDATA("Suma de Valor total estimado",$A$2,"Área","DIRECCIÓN DE ANALÍTICA, ALISTAMIENTO Y VALORACIÓN","SUSCRITO","NO")/GETPIVOTDATA("Suma de Valor total estimado",$A$2,"SUSCRITO","NO")</f>
        <v>0.23729458710351578</v>
      </c>
      <c r="F10" s="243">
        <f>GETPIVOTDATA("Suma de Valor total estimado",$A$2,"Área","DIRECCIÓN DE ANALÍTICA, ALISTAMIENTO Y VALORACIÓN","SUSCRITO","NO")/GETPIVOTDATA("Suma de Valor total estimado",$A$2)</f>
        <v>0.22634637446322331</v>
      </c>
    </row>
    <row r="11" spans="1:6" x14ac:dyDescent="0.25">
      <c r="A11" s="223" t="s">
        <v>362</v>
      </c>
      <c r="B11" s="224">
        <v>2665649600</v>
      </c>
      <c r="C11" s="225"/>
      <c r="E11" s="246">
        <f>GETPIVOTDATA("Suma de Valor total estimado",$A$2,"Área","DIRECCIÓN DE ASUNTOS LEGALES MISIONALES","SUSCRITO","NO")/GETPIVOTDATA("Suma de Valor total estimado",$A$2,"SUSCRITO","NO")</f>
        <v>5.249329636470141E-2</v>
      </c>
      <c r="F11" s="243">
        <f>GETPIVOTDATA("Suma de Valor total estimado",$A$2,"Área","DIRECCIÓN DE ASUNTOS LEGALES MISIONALES","SUSCRITO","NO")/GETPIVOTDATA("Suma de Valor total estimado",$A$2)</f>
        <v>5.0071379464675637E-2</v>
      </c>
    </row>
    <row r="12" spans="1:6" x14ac:dyDescent="0.25">
      <c r="A12" s="223" t="s">
        <v>176</v>
      </c>
      <c r="B12" s="224">
        <v>153230667</v>
      </c>
      <c r="C12" s="225"/>
      <c r="E12" s="246">
        <f>GETPIVOTDATA("Suma de Valor total estimado",$A$2,"Área","DIRECCIÓN DE CONTRATACIÓN","SUSCRITO","NO")/GETPIVOTDATA("Suma de Valor total estimado",$A$2,"SUSCRITO","NO")</f>
        <v>3.0174944279967903E-3</v>
      </c>
      <c r="F12" s="243">
        <f>GETPIVOTDATA("Suma de Valor total estimado",$A$2,"Área","DIRECCIÓN DE CONTRATACIÓN","SUSCRITO","NO")/GETPIVOTDATA("Suma de Valor total estimado",$A$2)</f>
        <v>2.8782743512059316E-3</v>
      </c>
    </row>
    <row r="13" spans="1:6" x14ac:dyDescent="0.25">
      <c r="A13" s="223" t="s">
        <v>652</v>
      </c>
      <c r="B13" s="224">
        <v>1600000000</v>
      </c>
      <c r="C13" s="225"/>
      <c r="E13" s="246">
        <f>GETPIVOTDATA("Suma de Valor total estimado",$A$2,"Área","DIRECCION DE CONTROL DEL INVENTARIO","SUSCRITO","NO")/GETPIVOTDATA("Suma de Valor total estimado",$A$2,"SUSCRITO","NO")</f>
        <v>3.150799496810168E-2</v>
      </c>
      <c r="F13" s="243">
        <f>GETPIVOTDATA("Suma de Valor total estimado",$A$2,"Área","DIRECCION DE CONTROL DEL INVENTARIO","SUSCRITO","NO")/GETPIVOTDATA("Suma de Valor total estimado",$A$2)</f>
        <v>3.0054290385158281E-2</v>
      </c>
    </row>
    <row r="14" spans="1:6" x14ac:dyDescent="0.25">
      <c r="A14" s="223" t="s">
        <v>564</v>
      </c>
      <c r="B14" s="224">
        <v>160000000</v>
      </c>
      <c r="C14" s="225"/>
      <c r="E14" s="246">
        <f>GETPIVOTDATA("Suma de Valor total estimado",$A$2,"Área","DIRECCIÓN DE PLANEACIÓN Y PROSPECTIVA","SUSCRITO","NO")/GETPIVOTDATA("Suma de Valor total estimado",$A$2,"SUSCRITO","NO")</f>
        <v>3.1507994968101682E-3</v>
      </c>
      <c r="F14" s="243">
        <f>GETPIVOTDATA("Suma de Valor total estimado",$A$2,"Área","DIRECCIÓN DE PLANEACIÓN Y PROSPECTIVA","SUSCRITO","NO")/GETPIVOTDATA("Suma de Valor total estimado",$A$2)</f>
        <v>3.0054290385158281E-3</v>
      </c>
    </row>
    <row r="15" spans="1:6" x14ac:dyDescent="0.25">
      <c r="A15" s="223" t="s">
        <v>493</v>
      </c>
      <c r="B15" s="224">
        <v>398700124</v>
      </c>
      <c r="C15" s="225"/>
      <c r="E15" s="246">
        <f>GETPIVOTDATA("Suma de Valor total estimado",$A$2,"Área","DIRECCIÓN DE PROYECTOS","SUSCRITO","NO")/GETPIVOTDATA("Suma de Valor total estimado",$A$2,"SUSCRITO","NO")</f>
        <v>7.8514009379834476E-3</v>
      </c>
      <c r="F15" s="243">
        <f>GETPIVOTDATA("Suma de Valor total estimado",$A$2,"Área","DIRECCIÓN DE PROYECTOS","SUSCRITO","NO")/GETPIVOTDATA("Suma de Valor total estimado",$A$2)</f>
        <v>7.4891558145591336E-3</v>
      </c>
    </row>
    <row r="16" spans="1:6" x14ac:dyDescent="0.25">
      <c r="A16" s="223" t="s">
        <v>190</v>
      </c>
      <c r="B16" s="224">
        <v>1117742880</v>
      </c>
      <c r="C16" s="225"/>
      <c r="E16" s="246">
        <f>GETPIVOTDATA("Suma de Valor total estimado",$A$2,"Área","DIRECCIÓN DE TALENTO HUMANO","SUSCRITO","NO")/GETPIVOTDATA("Suma de Valor total estimado",$A$2,"SUSCRITO","NO")</f>
        <v>2.2011148149169674E-2</v>
      </c>
      <c r="F16" s="243">
        <f>GETPIVOTDATA("Suma de Valor total estimado",$A$2,"Área","DIRECCIÓN DE TALENTO HUMANO","SUSCRITO","NO")/GETPIVOTDATA("Suma de Valor total estimado",$A$2)</f>
        <v>2.0995605682164454E-2</v>
      </c>
    </row>
    <row r="17" spans="1:6" x14ac:dyDescent="0.25">
      <c r="A17" s="223" t="s">
        <v>245</v>
      </c>
      <c r="B17" s="224">
        <v>3318857192</v>
      </c>
      <c r="C17" s="225"/>
      <c r="E17" s="246">
        <f>GETPIVOTDATA("Suma de Valor total estimado",$A$2,"Área","DIRECCIÓN FINANCIERA","SUSCRITO","NO")/GETPIVOTDATA("Suma de Valor total estimado",$A$2,"SUSCRITO","NO")</f>
        <v>6.5356584815865051E-2</v>
      </c>
      <c r="F17" s="243">
        <f>GETPIVOTDATA("Suma de Valor total estimado",$A$2,"Área","DIRECCIÓN FINANCIERA","SUSCRITO","NO")/GETPIVOTDATA("Suma de Valor total estimado",$A$2)</f>
        <v>6.2341186122024383E-2</v>
      </c>
    </row>
    <row r="18" spans="1:6" x14ac:dyDescent="0.25">
      <c r="A18" s="223" t="s">
        <v>424</v>
      </c>
      <c r="B18" s="224">
        <v>850000000</v>
      </c>
      <c r="C18" s="225"/>
      <c r="E18" s="246">
        <f>GETPIVOTDATA("Suma de Valor total estimado",$A$2,"Área","DIRECCION PARA LA DEMOCRATIZACION DE ACTIVOS MUEBLES ","SUSCRITO","NO")/GETPIVOTDATA("Suma de Valor total estimado",$A$2,"SUSCRITO","NO")</f>
        <v>1.6738622326804016E-2</v>
      </c>
      <c r="F18" s="243">
        <f>GETPIVOTDATA("Suma de Valor total estimado",$A$2,"Área","DIRECCION PARA LA DEMOCRATIZACION DE ACTIVOS MUEBLES ","SUSCRITO","NO")/GETPIVOTDATA("Suma de Valor total estimado",$A$2)</f>
        <v>1.5966341767115338E-2</v>
      </c>
    </row>
    <row r="19" spans="1:6" x14ac:dyDescent="0.25">
      <c r="A19" s="223" t="s">
        <v>590</v>
      </c>
      <c r="B19" s="224">
        <v>200000000</v>
      </c>
      <c r="C19" s="225"/>
      <c r="E19" s="246">
        <f>GETPIVOTDATA("Suma de Valor total estimado",$A$2,"Área","GERENCIA DE AUDITORIA A SOCIEDADES","SUSCRITO","NO")/GETPIVOTDATA("Suma de Valor total estimado",$A$2,"SUSCRITO","NO")</f>
        <v>3.93849937101271E-3</v>
      </c>
      <c r="F19" s="243">
        <f>GETPIVOTDATA("Suma de Valor total estimado",$A$2,"Área","GERENCIA DE AUDITORIA A SOCIEDADES","SUSCRITO","NO")/GETPIVOTDATA("Suma de Valor total estimado",$A$2)</f>
        <v>3.7567862981447851E-3</v>
      </c>
    </row>
    <row r="20" spans="1:6" x14ac:dyDescent="0.25">
      <c r="A20" s="223" t="s">
        <v>377</v>
      </c>
      <c r="B20" s="224">
        <v>493242750</v>
      </c>
      <c r="C20" s="225"/>
      <c r="E20" s="246">
        <f>GETPIVOTDATA("Suma de Valor total estimado",$A$2,"Área","GERENCIA DE DEPOSITARIOS, MANDATARIOS Y LIQUIDADORES","SUSCRITO","NO")/GETPIVOTDATA("Suma de Valor total estimado",$A$2,"SUSCRITO","NO")</f>
        <v>9.7131813031578976E-3</v>
      </c>
      <c r="F20" s="243">
        <f>GETPIVOTDATA("Suma de Valor total estimado",$A$2,"Área","GERENCIA DE DEPOSITARIOS, MANDATARIOS Y LIQUIDADORES","SUSCRITO","NO")/GETPIVOTDATA("Suma de Valor total estimado",$A$2)</f>
        <v>9.2650380242962679E-3</v>
      </c>
    </row>
    <row r="21" spans="1:6" x14ac:dyDescent="0.25">
      <c r="A21" s="223" t="s">
        <v>269</v>
      </c>
      <c r="B21" s="224">
        <v>195127350</v>
      </c>
      <c r="C21" s="225"/>
      <c r="E21" s="246">
        <f>GETPIVOTDATA("Suma de Valor total estimado",$A$2,"Área","OFICINA DE INTEGRIDAD, ANTICORRUPCIÓN Y CUMPLIMIENTO","SUSCRITO","NO")/GETPIVOTDATA("Suma de Valor total estimado",$A$2,"SUSCRITO","NO")</f>
        <v>3.8425447262118847E-3</v>
      </c>
      <c r="F21" s="243">
        <f>GETPIVOTDATA("Suma de Valor total estimado",$A$2,"Área","OFICINA DE INTEGRIDAD, ANTICORRUPCIÓN Y CUMPLIMIENTO","SUSCRITO","NO")/GETPIVOTDATA("Suma de Valor total estimado",$A$2)</f>
        <v>3.6652587743665091E-3</v>
      </c>
    </row>
    <row r="22" spans="1:6" x14ac:dyDescent="0.25">
      <c r="A22" s="223" t="s">
        <v>279</v>
      </c>
      <c r="B22" s="224">
        <v>899130000</v>
      </c>
      <c r="C22" s="225"/>
      <c r="E22" s="246">
        <f>GETPIVOTDATA("Suma de Valor total estimado",$A$2,"Área","OFICINA DE PRENSA Y COMUNICACIONES","SUSCRITO","NO")/GETPIVOTDATA("Suma de Valor total estimado",$A$2,"SUSCRITO","NO")</f>
        <v>1.7706114697293291E-2</v>
      </c>
      <c r="F22" s="243">
        <f>GETPIVOTDATA("Suma de Valor total estimado",$A$2,"Área","OFICINA DE PRENSA Y COMUNICACIONES","SUSCRITO","NO")/GETPIVOTDATA("Suma de Valor total estimado",$A$2)</f>
        <v>1.6889196321254605E-2</v>
      </c>
    </row>
    <row r="23" spans="1:6" x14ac:dyDescent="0.25">
      <c r="A23" s="223" t="s">
        <v>302</v>
      </c>
      <c r="B23" s="224">
        <v>9630249845</v>
      </c>
      <c r="C23" s="225"/>
      <c r="E23" s="246">
        <f>GETPIVOTDATA("Suma de Valor total estimado",$A$2,"Área","OFICINA DE TECNOLOGÍAS Y SISTEMAS DE LA INFORMACIÓN","SUSCRITO","NO")/GETPIVOTDATA("Suma de Valor total estimado",$A$2,"SUSCRITO","NO")</f>
        <v>0.18964366478613875</v>
      </c>
      <c r="F23" s="243">
        <f>GETPIVOTDATA("Suma de Valor total estimado",$A$2,"Área","OFICINA DE TECNOLOGÍAS Y SISTEMAS DE LA INFORMACIÓN","SUSCRITO","NO")/GETPIVOTDATA("Suma de Valor total estimado",$A$2)</f>
        <v>0.1808939533270347</v>
      </c>
    </row>
    <row r="24" spans="1:6" x14ac:dyDescent="0.25">
      <c r="A24" s="223" t="s">
        <v>343</v>
      </c>
      <c r="B24" s="224">
        <v>41500000</v>
      </c>
      <c r="C24" s="225"/>
      <c r="E24" s="246">
        <f>GETPIVOTDATA("Suma de Valor total estimado",$A$2,"Área","OFICINA JURÍDICA","SUSCRITO","NO")/GETPIVOTDATA("Suma de Valor total estimado",$A$2,"SUSCRITO","NO")</f>
        <v>8.1723861948513731E-4</v>
      </c>
      <c r="F24" s="243">
        <f>GETPIVOTDATA("Suma de Valor total estimado",$A$2,"Área","OFICINA JURÍDICA","SUSCRITO","NO")/GETPIVOTDATA("Suma de Valor total estimado",$A$2)</f>
        <v>7.7953315686504288E-4</v>
      </c>
    </row>
    <row r="25" spans="1:6" x14ac:dyDescent="0.25">
      <c r="A25" s="223" t="s">
        <v>447</v>
      </c>
      <c r="B25" s="224">
        <v>9332354</v>
      </c>
      <c r="C25" s="225"/>
      <c r="E25" s="246">
        <f>GETPIVOTDATA("Suma de Valor total estimado",$A$2,"Área","VICEPRESIDENCIA CORPORATIVA","SUSCRITO","NO")/GETPIVOTDATA("Suma de Valor total estimado",$A$2,"SUSCRITO","NO")</f>
        <v>1.8377735179533975E-4</v>
      </c>
      <c r="F25" s="243">
        <f>GETPIVOTDATA("Suma de Valor total estimado",$A$2,"Área","VICEPRESIDENCIA CORPORATIVA","SUSCRITO","NO")/GETPIVOTDATA("Suma de Valor total estimado",$A$2)</f>
        <v>1.7529829818318339E-4</v>
      </c>
    </row>
    <row r="26" spans="1:6" x14ac:dyDescent="0.25">
      <c r="A26" s="223" t="s">
        <v>349</v>
      </c>
      <c r="B26" s="224">
        <v>369000000</v>
      </c>
      <c r="C26" s="225"/>
      <c r="E26" s="246">
        <f>GETPIVOTDATA("Suma de Valor total estimado",$A$2,"Área","VICEPRESIDENCIA DE ACTIVOS MUEBLES E INMUEBLES","SUSCRITO","NO")/GETPIVOTDATA("Suma de Valor total estimado",$A$2,"SUSCRITO","NO")</f>
        <v>7.2665313395184504E-3</v>
      </c>
      <c r="F26" s="243">
        <f>GETPIVOTDATA("Suma de Valor total estimado",$A$2,"Área","VICEPRESIDENCIA DE ACTIVOS MUEBLES E INMUEBLES","SUSCRITO","NO")/GETPIVOTDATA("Suma de Valor total estimado",$A$2)</f>
        <v>6.9312707200771288E-3</v>
      </c>
    </row>
    <row r="27" spans="1:6" x14ac:dyDescent="0.25">
      <c r="A27" s="223" t="s">
        <v>356</v>
      </c>
      <c r="B27" s="224">
        <v>157500000</v>
      </c>
      <c r="C27" s="225"/>
      <c r="E27" s="246">
        <f>GETPIVOTDATA("Suma de Valor total estimado",$A$2,"Área","VICEPRESIDENCIA DE SOCIEDADES","SUSCRITO","NO")/GETPIVOTDATA("Suma de Valor total estimado",$A$2,"SUSCRITO","NO")</f>
        <v>3.1015682546725091E-3</v>
      </c>
      <c r="F27" s="243">
        <f>GETPIVOTDATA("Suma de Valor total estimado",$A$2,"Área","VICEPRESIDENCIA DE SOCIEDADES","SUSCRITO","NO")/GETPIVOTDATA("Suma de Valor total estimado",$A$2)</f>
        <v>2.9584692097890182E-3</v>
      </c>
    </row>
    <row r="28" spans="1:6" ht="15.75" thickBot="1" x14ac:dyDescent="0.3">
      <c r="A28" s="136" t="s">
        <v>393</v>
      </c>
      <c r="B28" s="224">
        <v>12100000000</v>
      </c>
      <c r="C28" s="225"/>
      <c r="E28" s="247">
        <f>GETPIVOTDATA("Suma de Valor total estimado",$A$2,"Área","VICEPRESIDENCIA OPERATIVA / DIRECCIONES TERRITORIALES / DIRECCIÓN DE CONTROL DE INVENTARIO","SUSCRITO","NO")/GETPIVOTDATA("Suma de Valor total estimado",$A$2,"SUSCRITO","NO")</f>
        <v>0.23827921194626897</v>
      </c>
      <c r="F28" s="244">
        <f>GETPIVOTDATA("Suma de Valor total estimado",$A$2,"Área","VICEPRESIDENCIA OPERATIVA / DIRECCIONES TERRITORIALES / DIRECCIÓN DE CONTROL DE INVENTARIO","SUSCRITO","NO")/GETPIVOTDATA("Suma de Valor total estimado",$A$2)</f>
        <v>0.22728557103775951</v>
      </c>
    </row>
    <row r="29" spans="1:6" ht="15.75" thickBot="1" x14ac:dyDescent="0.3">
      <c r="A29" s="255" t="s">
        <v>55</v>
      </c>
      <c r="B29" s="256">
        <v>2456229237</v>
      </c>
      <c r="C29" s="257">
        <v>2354905020</v>
      </c>
      <c r="E29" s="251" t="s">
        <v>681</v>
      </c>
    </row>
    <row r="30" spans="1:6" x14ac:dyDescent="0.25">
      <c r="A30" s="223" t="s">
        <v>44</v>
      </c>
      <c r="B30" s="224">
        <v>791586340</v>
      </c>
      <c r="C30" s="225">
        <v>764505840</v>
      </c>
      <c r="E30" s="248">
        <f>GETPIVOTDATA("Suma de VALOR",$A$2,"Área","DESPACHO PRESIDENCIA","SUSCRITO","SI")/GETPIVOTDATA("Suma de Valor total estimado",$A$2)</f>
        <v>1.4360425322818346E-2</v>
      </c>
    </row>
    <row r="31" spans="1:6" ht="15.75" thickBot="1" x14ac:dyDescent="0.3">
      <c r="A31" s="136" t="s">
        <v>98</v>
      </c>
      <c r="B31" s="224">
        <v>237600000</v>
      </c>
      <c r="C31" s="225">
        <v>237600000</v>
      </c>
      <c r="E31" s="246">
        <f>GETPIVOTDATA("Suma de VALOR",$A$2,"Área","DIRECCCIÓN PARA LA DEMOCRATIZACIÓN DE ACTIVOS INMUEBLES URBANOS","SUSCRITO","SI")/GETPIVOTDATA("Suma de Valor total estimado",$A$2)</f>
        <v>4.4630621221960045E-3</v>
      </c>
    </row>
    <row r="32" spans="1:6" x14ac:dyDescent="0.25">
      <c r="A32" s="135" t="s">
        <v>163</v>
      </c>
      <c r="B32" s="224">
        <v>56940000</v>
      </c>
      <c r="C32" s="225">
        <v>56940000</v>
      </c>
      <c r="E32" s="246">
        <f>GETPIVOTDATA("Suma de VALOR",$A$2,"Área","DIRECCIÓN DE ASUNTOS LEGALES MISIONALES","SUSCRITO","SI")/GETPIVOTDATA("Suma de Valor total estimado",$A$2)</f>
        <v>6.7622153366606128E-4</v>
      </c>
    </row>
    <row r="33" spans="1:5" x14ac:dyDescent="0.25">
      <c r="A33" s="223" t="s">
        <v>362</v>
      </c>
      <c r="B33" s="224">
        <v>36000000</v>
      </c>
      <c r="C33" s="225">
        <v>36000000</v>
      </c>
      <c r="E33" s="246">
        <f>GETPIVOTDATA("Suma de VALOR",$A$2,"Área","DIRECCIÓN DE CONTRATACIÓN","SUSCRITO","SI")/GETPIVOTDATA("Suma de Valor total estimado",$A$2)</f>
        <v>3.8701661086227948E-3</v>
      </c>
    </row>
    <row r="34" spans="1:5" x14ac:dyDescent="0.25">
      <c r="A34" s="223" t="s">
        <v>176</v>
      </c>
      <c r="B34" s="224">
        <v>207502667</v>
      </c>
      <c r="C34" s="225">
        <v>206036000</v>
      </c>
      <c r="E34" s="246">
        <f>GETPIVOTDATA("Suma de VALOR",$A$2,"Área","DIRECCIÓN DE TALENTO HUMANO","SUSCRITO","SI")/GETPIVOTDATA("Suma de Valor total estimado",$A$2)</f>
        <v>1.3223103164651277E-2</v>
      </c>
    </row>
    <row r="35" spans="1:5" x14ac:dyDescent="0.25">
      <c r="A35" s="223" t="s">
        <v>190</v>
      </c>
      <c r="B35" s="224">
        <v>708958230</v>
      </c>
      <c r="C35" s="225">
        <v>703958230</v>
      </c>
      <c r="E35" s="246">
        <f>GETPIVOTDATA("Suma de VALOR",$A$2,"Área","OFICINA DE INTEGRIDAD, ANTICORRUPCIÓN Y CUMPLIMIENTO","SUSCRITO","SI")/GETPIVOTDATA("Suma de Valor total estimado",$A$2)</f>
        <v>9.6260135317363833E-4</v>
      </c>
    </row>
    <row r="36" spans="1:5" x14ac:dyDescent="0.25">
      <c r="A36" s="223" t="s">
        <v>269</v>
      </c>
      <c r="B36" s="224">
        <v>76842000</v>
      </c>
      <c r="C36" s="225">
        <v>51246000</v>
      </c>
      <c r="E36" s="246">
        <f>GETPIVOTDATA("Suma de VALOR",$A$2,"Área","VICEPRESIDENCIA CORPORATIVA","SUSCRITO","SI")/GETPIVOTDATA("Suma de Valor total estimado",$A$2)</f>
        <v>4.0313876534111039E-3</v>
      </c>
    </row>
    <row r="37" spans="1:5" x14ac:dyDescent="0.25">
      <c r="A37" s="223" t="s">
        <v>447</v>
      </c>
      <c r="B37" s="224">
        <v>207800000</v>
      </c>
      <c r="C37" s="225">
        <v>214618950</v>
      </c>
      <c r="E37" s="246">
        <f>GETPIVOTDATA("Suma de VALOR",$A$2,"Área","VICEPRESIDENCIA OPERATIVA","SUSCRITO","SI")/GETPIVOTDATA("Suma de Valor total estimado",$A$2)</f>
        <v>1.5778502452208098E-3</v>
      </c>
    </row>
    <row r="38" spans="1:5" ht="15.75" thickBot="1" x14ac:dyDescent="0.3">
      <c r="A38" s="136" t="s">
        <v>548</v>
      </c>
      <c r="B38" s="224">
        <v>133000000</v>
      </c>
      <c r="C38" s="225">
        <v>84000000</v>
      </c>
      <c r="E38" s="260">
        <f>GETPIVOTDATA("Suma de VALOR",$A$2)/GETPIVOTDATA("Suma de Valor total estimado",$A$2)</f>
        <v>4.4234374562841856E-2</v>
      </c>
    </row>
    <row r="39" spans="1:5" ht="15.75" thickBot="1" x14ac:dyDescent="0.3">
      <c r="A39" s="86" t="s">
        <v>522</v>
      </c>
      <c r="B39" s="226">
        <v>53236991441</v>
      </c>
      <c r="C39" s="227">
        <v>2354905020</v>
      </c>
    </row>
    <row r="40" spans="1:5" x14ac:dyDescent="0.25">
      <c r="B40"/>
      <c r="C40"/>
    </row>
    <row r="41" spans="1:5" x14ac:dyDescent="0.25">
      <c r="B41"/>
      <c r="C41"/>
    </row>
    <row r="42" spans="1:5" x14ac:dyDescent="0.25">
      <c r="B42"/>
      <c r="C42"/>
    </row>
    <row r="43" spans="1:5" x14ac:dyDescent="0.25">
      <c r="B43"/>
      <c r="C43"/>
    </row>
    <row r="44" spans="1:5" ht="15.75" thickBot="1" x14ac:dyDescent="0.3">
      <c r="B44"/>
      <c r="C44"/>
    </row>
    <row r="45" spans="1:5" ht="15.75" thickBot="1" x14ac:dyDescent="0.3">
      <c r="B45"/>
      <c r="C45"/>
    </row>
    <row r="46" spans="1:5" x14ac:dyDescent="0.25">
      <c r="B46"/>
      <c r="C46"/>
    </row>
    <row r="47" spans="1:5" ht="15.75" thickBot="1" x14ac:dyDescent="0.3">
      <c r="B47"/>
      <c r="C47"/>
    </row>
    <row r="48" spans="1:5" ht="15.75" thickBot="1" x14ac:dyDescent="0.3">
      <c r="B48"/>
      <c r="C48"/>
    </row>
    <row r="49" spans="2:3" x14ac:dyDescent="0.25">
      <c r="B49"/>
      <c r="C49"/>
    </row>
    <row r="50" spans="2:3" x14ac:dyDescent="0.25">
      <c r="B50"/>
      <c r="C50"/>
    </row>
    <row r="51" spans="2:3" ht="15.75" thickBot="1" x14ac:dyDescent="0.3">
      <c r="B51"/>
      <c r="C51"/>
    </row>
    <row r="52" spans="2:3" ht="15.75" thickBot="1" x14ac:dyDescent="0.3">
      <c r="B52"/>
      <c r="C52"/>
    </row>
    <row r="53" spans="2:3" x14ac:dyDescent="0.25">
      <c r="B53"/>
      <c r="C53"/>
    </row>
    <row r="54" spans="2:3" x14ac:dyDescent="0.25">
      <c r="B54"/>
      <c r="C54"/>
    </row>
    <row r="55" spans="2:3" x14ac:dyDescent="0.25">
      <c r="B55"/>
      <c r="C55"/>
    </row>
    <row r="56" spans="2:3" x14ac:dyDescent="0.25">
      <c r="B56"/>
      <c r="C56"/>
    </row>
    <row r="57" spans="2:3" x14ac:dyDescent="0.25">
      <c r="B57"/>
      <c r="C57"/>
    </row>
    <row r="58" spans="2:3" x14ac:dyDescent="0.25">
      <c r="B58"/>
      <c r="C58"/>
    </row>
    <row r="59" spans="2:3" x14ac:dyDescent="0.25">
      <c r="B59"/>
      <c r="C59"/>
    </row>
    <row r="60" spans="2:3" x14ac:dyDescent="0.25">
      <c r="B60"/>
      <c r="C60"/>
    </row>
    <row r="61" spans="2:3" x14ac:dyDescent="0.25">
      <c r="B61"/>
      <c r="C61"/>
    </row>
    <row r="62" spans="2:3" x14ac:dyDescent="0.25">
      <c r="B62"/>
      <c r="C62"/>
    </row>
    <row r="63" spans="2:3" x14ac:dyDescent="0.25">
      <c r="B63"/>
      <c r="C63"/>
    </row>
    <row r="64" spans="2:3" x14ac:dyDescent="0.25">
      <c r="B64"/>
      <c r="C64"/>
    </row>
    <row r="65" spans="2:3" x14ac:dyDescent="0.25">
      <c r="B65"/>
      <c r="C65"/>
    </row>
    <row r="66" spans="2:3" x14ac:dyDescent="0.25">
      <c r="B66"/>
      <c r="C66"/>
    </row>
    <row r="67" spans="2:3" x14ac:dyDescent="0.25">
      <c r="B67"/>
      <c r="C67"/>
    </row>
    <row r="68" spans="2:3" x14ac:dyDescent="0.25">
      <c r="B68"/>
      <c r="C68"/>
    </row>
    <row r="69" spans="2:3" x14ac:dyDescent="0.25">
      <c r="B69"/>
      <c r="C69"/>
    </row>
    <row r="70" spans="2:3" x14ac:dyDescent="0.25">
      <c r="B70"/>
      <c r="C70"/>
    </row>
    <row r="71" spans="2:3" x14ac:dyDescent="0.25">
      <c r="B71"/>
      <c r="C71"/>
    </row>
    <row r="72" spans="2:3" x14ac:dyDescent="0.25">
      <c r="B72"/>
      <c r="C72"/>
    </row>
    <row r="73" spans="2:3" x14ac:dyDescent="0.25">
      <c r="B73"/>
      <c r="C73"/>
    </row>
    <row r="74" spans="2:3" x14ac:dyDescent="0.25">
      <c r="B74"/>
      <c r="C74"/>
    </row>
    <row r="75" spans="2:3" x14ac:dyDescent="0.25">
      <c r="B75"/>
      <c r="C75"/>
    </row>
    <row r="76" spans="2:3" x14ac:dyDescent="0.25">
      <c r="B76"/>
      <c r="C76"/>
    </row>
    <row r="77" spans="2:3" x14ac:dyDescent="0.25">
      <c r="B77"/>
      <c r="C77"/>
    </row>
    <row r="78" spans="2:3" x14ac:dyDescent="0.25">
      <c r="B78"/>
      <c r="C78"/>
    </row>
    <row r="79" spans="2:3" x14ac:dyDescent="0.25">
      <c r="B79"/>
      <c r="C79"/>
    </row>
    <row r="80" spans="2:3" x14ac:dyDescent="0.25">
      <c r="B80"/>
      <c r="C80"/>
    </row>
    <row r="81" spans="2:3" x14ac:dyDescent="0.25">
      <c r="B81"/>
      <c r="C81"/>
    </row>
    <row r="82" spans="2:3" x14ac:dyDescent="0.25">
      <c r="B82"/>
      <c r="C82"/>
    </row>
    <row r="83" spans="2:3" x14ac:dyDescent="0.25">
      <c r="B83"/>
      <c r="C83"/>
    </row>
    <row r="84" spans="2:3" x14ac:dyDescent="0.25">
      <c r="B84"/>
      <c r="C84"/>
    </row>
    <row r="85" spans="2:3" x14ac:dyDescent="0.25">
      <c r="B85"/>
      <c r="C85"/>
    </row>
    <row r="86" spans="2:3" x14ac:dyDescent="0.25">
      <c r="B86"/>
      <c r="C86"/>
    </row>
    <row r="87" spans="2:3" x14ac:dyDescent="0.25">
      <c r="B87"/>
      <c r="C87"/>
    </row>
    <row r="88" spans="2:3" x14ac:dyDescent="0.25">
      <c r="B88"/>
      <c r="C88"/>
    </row>
    <row r="89" spans="2:3" x14ac:dyDescent="0.25">
      <c r="B89"/>
      <c r="C89"/>
    </row>
    <row r="90" spans="2:3" x14ac:dyDescent="0.25">
      <c r="B90"/>
      <c r="C90"/>
    </row>
    <row r="91" spans="2:3" x14ac:dyDescent="0.25">
      <c r="B91"/>
      <c r="C91"/>
    </row>
    <row r="92" spans="2:3" x14ac:dyDescent="0.25">
      <c r="B92"/>
      <c r="C92"/>
    </row>
    <row r="93" spans="2:3" x14ac:dyDescent="0.25">
      <c r="B93"/>
      <c r="C93"/>
    </row>
    <row r="94" spans="2:3" x14ac:dyDescent="0.25">
      <c r="B94"/>
      <c r="C94"/>
    </row>
    <row r="95" spans="2:3" x14ac:dyDescent="0.25">
      <c r="B95"/>
      <c r="C95"/>
    </row>
    <row r="96" spans="2:3" x14ac:dyDescent="0.25">
      <c r="B96"/>
      <c r="C96"/>
    </row>
    <row r="97" spans="2:3" x14ac:dyDescent="0.25">
      <c r="B97"/>
      <c r="C97"/>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996CD-1C57-40F8-8688-1A5C91F1336E}">
  <dimension ref="B1:W11"/>
  <sheetViews>
    <sheetView workbookViewId="0">
      <selection activeCell="D18" sqref="D18"/>
    </sheetView>
  </sheetViews>
  <sheetFormatPr baseColWidth="10" defaultRowHeight="15" x14ac:dyDescent="0.25"/>
  <cols>
    <col min="2" max="2" width="37.42578125" bestFit="1" customWidth="1"/>
    <col min="3" max="3" width="22.85546875" bestFit="1" customWidth="1"/>
    <col min="4" max="4" width="11.28515625" bestFit="1" customWidth="1"/>
    <col min="5" max="5" width="9.28515625" bestFit="1" customWidth="1"/>
    <col min="6" max="6" width="8" bestFit="1" customWidth="1"/>
    <col min="7" max="7" width="8.140625" bestFit="1" customWidth="1"/>
    <col min="8" max="8" width="8.28515625" bestFit="1" customWidth="1"/>
    <col min="9" max="9" width="7.85546875" bestFit="1" customWidth="1"/>
    <col min="10" max="10" width="14.140625" bestFit="1" customWidth="1"/>
    <col min="11" max="11" width="12.5703125" bestFit="1" customWidth="1"/>
    <col min="12" max="12" width="14.140625" bestFit="1" customWidth="1"/>
    <col min="13" max="15" width="12.5703125" bestFit="1" customWidth="1"/>
    <col min="16" max="16" width="17.28515625" bestFit="1" customWidth="1"/>
    <col min="17" max="17" width="12.5703125" bestFit="1" customWidth="1"/>
    <col min="18" max="18" width="17.28515625" bestFit="1" customWidth="1"/>
    <col min="19" max="19" width="12.5703125" bestFit="1" customWidth="1"/>
    <col min="20" max="20" width="17.28515625" bestFit="1" customWidth="1"/>
    <col min="21" max="21" width="12.5703125" bestFit="1" customWidth="1"/>
    <col min="22" max="22" width="14.28515625" customWidth="1"/>
    <col min="23" max="23" width="17.140625" customWidth="1"/>
  </cols>
  <sheetData>
    <row r="1" spans="2:23" ht="15.75" thickBot="1" x14ac:dyDescent="0.3"/>
    <row r="2" spans="2:23" ht="120" hidden="1" x14ac:dyDescent="0.25">
      <c r="B2" s="296" t="s">
        <v>687</v>
      </c>
      <c r="C2" s="294" t="s">
        <v>521</v>
      </c>
      <c r="D2" s="295"/>
      <c r="E2" s="295"/>
      <c r="F2" s="295"/>
      <c r="G2" s="295"/>
      <c r="H2" s="295"/>
      <c r="I2" s="295"/>
      <c r="J2" s="295"/>
      <c r="K2" s="295"/>
    </row>
    <row r="3" spans="2:23" s="306" customFormat="1" ht="15.75" thickBot="1" x14ac:dyDescent="0.3">
      <c r="B3" s="302"/>
      <c r="C3" s="316" t="s">
        <v>46</v>
      </c>
      <c r="D3" s="316" t="s">
        <v>59</v>
      </c>
      <c r="E3" s="316" t="s">
        <v>87</v>
      </c>
      <c r="F3" s="316" t="s">
        <v>79</v>
      </c>
      <c r="G3" s="316" t="s">
        <v>121</v>
      </c>
      <c r="H3" s="314" t="s">
        <v>282</v>
      </c>
      <c r="I3" s="314" t="s">
        <v>224</v>
      </c>
      <c r="J3" s="314" t="s">
        <v>231</v>
      </c>
      <c r="K3" s="317" t="s">
        <v>522</v>
      </c>
      <c r="L3"/>
      <c r="M3"/>
      <c r="N3"/>
      <c r="O3"/>
      <c r="P3"/>
      <c r="Q3"/>
      <c r="R3"/>
      <c r="S3"/>
      <c r="T3"/>
      <c r="U3"/>
      <c r="V3"/>
      <c r="W3"/>
    </row>
    <row r="4" spans="2:23" s="169" customFormat="1" ht="15.75" thickBot="1" x14ac:dyDescent="0.3">
      <c r="B4" s="312" t="s">
        <v>523</v>
      </c>
      <c r="C4" s="295"/>
      <c r="D4" s="295"/>
      <c r="E4" s="295"/>
      <c r="F4" s="295"/>
      <c r="G4" s="295"/>
      <c r="H4" s="295"/>
      <c r="I4" s="295"/>
      <c r="J4" s="295"/>
      <c r="K4" s="307"/>
      <c r="L4"/>
      <c r="M4"/>
      <c r="N4"/>
      <c r="O4"/>
      <c r="P4"/>
      <c r="Q4"/>
      <c r="R4"/>
      <c r="S4"/>
      <c r="T4"/>
      <c r="U4"/>
      <c r="V4"/>
      <c r="W4"/>
    </row>
    <row r="5" spans="2:23" ht="15.75" thickBot="1" x14ac:dyDescent="0.3">
      <c r="B5" s="310" t="s">
        <v>61</v>
      </c>
      <c r="C5" s="297"/>
      <c r="D5" s="303">
        <v>1</v>
      </c>
      <c r="E5" s="313">
        <v>1</v>
      </c>
      <c r="F5" s="299"/>
      <c r="G5" s="319"/>
      <c r="H5" s="315"/>
      <c r="I5" s="313"/>
      <c r="J5" s="315"/>
      <c r="K5" s="300">
        <v>2</v>
      </c>
    </row>
    <row r="6" spans="2:23" ht="15.75" thickBot="1" x14ac:dyDescent="0.3">
      <c r="B6" s="311" t="s">
        <v>48</v>
      </c>
      <c r="C6" s="297">
        <v>2</v>
      </c>
      <c r="D6" s="303">
        <v>31</v>
      </c>
      <c r="E6" s="300">
        <v>36</v>
      </c>
      <c r="F6" s="298">
        <v>6</v>
      </c>
      <c r="G6" s="308">
        <v>17</v>
      </c>
      <c r="H6" s="301">
        <v>1</v>
      </c>
      <c r="I6" s="300">
        <v>1</v>
      </c>
      <c r="J6" s="301"/>
      <c r="K6" s="300">
        <v>94</v>
      </c>
    </row>
    <row r="7" spans="2:23" ht="15.75" thickBot="1" x14ac:dyDescent="0.3">
      <c r="B7" s="311" t="s">
        <v>111</v>
      </c>
      <c r="C7" s="297"/>
      <c r="D7" s="303">
        <v>6</v>
      </c>
      <c r="E7" s="300">
        <v>7</v>
      </c>
      <c r="F7" s="298">
        <v>2</v>
      </c>
      <c r="G7" s="308">
        <v>1</v>
      </c>
      <c r="H7" s="301">
        <v>1</v>
      </c>
      <c r="I7" s="300">
        <v>3</v>
      </c>
      <c r="J7" s="301">
        <v>1</v>
      </c>
      <c r="K7" s="300">
        <v>21</v>
      </c>
    </row>
    <row r="8" spans="2:23" ht="15.75" thickBot="1" x14ac:dyDescent="0.3">
      <c r="B8" s="311" t="s">
        <v>131</v>
      </c>
      <c r="C8" s="297"/>
      <c r="D8" s="303">
        <v>2</v>
      </c>
      <c r="E8" s="300">
        <v>3</v>
      </c>
      <c r="F8" s="298"/>
      <c r="G8" s="308"/>
      <c r="H8" s="301"/>
      <c r="I8" s="300"/>
      <c r="J8" s="301"/>
      <c r="K8" s="300">
        <v>5</v>
      </c>
    </row>
    <row r="9" spans="2:23" ht="15.75" thickBot="1" x14ac:dyDescent="0.3">
      <c r="B9" s="311" t="s">
        <v>157</v>
      </c>
      <c r="C9" s="297"/>
      <c r="D9" s="303">
        <v>9</v>
      </c>
      <c r="E9" s="300">
        <v>2</v>
      </c>
      <c r="F9" s="298">
        <v>1</v>
      </c>
      <c r="G9" s="308">
        <v>1</v>
      </c>
      <c r="H9" s="301"/>
      <c r="I9" s="300">
        <v>1</v>
      </c>
      <c r="J9" s="301"/>
      <c r="K9" s="300">
        <v>14</v>
      </c>
    </row>
    <row r="10" spans="2:23" ht="45.75" thickBot="1" x14ac:dyDescent="0.3">
      <c r="B10" s="311" t="s">
        <v>123</v>
      </c>
      <c r="C10" s="297"/>
      <c r="D10" s="303">
        <v>1</v>
      </c>
      <c r="E10" s="300"/>
      <c r="F10" s="298">
        <v>1</v>
      </c>
      <c r="G10" s="308"/>
      <c r="H10" s="301">
        <v>1</v>
      </c>
      <c r="I10" s="300"/>
      <c r="J10" s="301"/>
      <c r="K10" s="300">
        <v>3</v>
      </c>
    </row>
    <row r="11" spans="2:23" ht="15.75" thickBot="1" x14ac:dyDescent="0.3">
      <c r="B11" s="318" t="s">
        <v>522</v>
      </c>
      <c r="C11" s="304">
        <v>2</v>
      </c>
      <c r="D11" s="309">
        <v>50</v>
      </c>
      <c r="E11" s="305">
        <v>49</v>
      </c>
      <c r="F11" s="305">
        <v>10</v>
      </c>
      <c r="G11" s="305">
        <v>19</v>
      </c>
      <c r="H11" s="305">
        <v>3</v>
      </c>
      <c r="I11" s="305">
        <v>5</v>
      </c>
      <c r="J11" s="305">
        <v>1</v>
      </c>
      <c r="K11" s="305">
        <v>139</v>
      </c>
    </row>
  </sheetData>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000AC-9CEC-45AC-9C3E-885E3BFD9C4F}">
  <dimension ref="A1:J83"/>
  <sheetViews>
    <sheetView view="pageBreakPreview" zoomScaleNormal="100" zoomScaleSheetLayoutView="100" workbookViewId="0"/>
  </sheetViews>
  <sheetFormatPr baseColWidth="10" defaultRowHeight="14.25" x14ac:dyDescent="0.2"/>
  <cols>
    <col min="1" max="1" width="11.5703125" style="94" bestFit="1" customWidth="1"/>
    <col min="2" max="2" width="93.42578125" style="94" customWidth="1"/>
    <col min="3" max="3" width="18.28515625" style="98" bestFit="1" customWidth="1"/>
    <col min="4" max="4" width="32.5703125" style="94" customWidth="1"/>
    <col min="5" max="5" width="41.5703125" style="94" customWidth="1"/>
    <col min="6" max="6" width="21.28515625" style="94" customWidth="1"/>
    <col min="7" max="7" width="20" style="94" customWidth="1"/>
    <col min="8" max="8" width="28.28515625" style="94" customWidth="1"/>
    <col min="9" max="9" width="21.42578125" style="94" customWidth="1"/>
    <col min="10" max="10" width="24.28515625" style="94" customWidth="1"/>
    <col min="11" max="16384" width="11.42578125" style="94"/>
  </cols>
  <sheetData>
    <row r="1" spans="1:10" ht="45" x14ac:dyDescent="0.2">
      <c r="A1" s="87" t="s">
        <v>533</v>
      </c>
      <c r="B1" s="87" t="s">
        <v>526</v>
      </c>
      <c r="C1" s="88" t="s">
        <v>465</v>
      </c>
      <c r="D1" s="87" t="s">
        <v>531</v>
      </c>
      <c r="E1" s="87" t="s">
        <v>11</v>
      </c>
      <c r="F1" s="87" t="s">
        <v>17</v>
      </c>
      <c r="G1" s="87" t="s">
        <v>18</v>
      </c>
      <c r="H1" s="87" t="s">
        <v>29</v>
      </c>
      <c r="I1" s="87" t="s">
        <v>31</v>
      </c>
      <c r="J1" s="89" t="s">
        <v>468</v>
      </c>
    </row>
    <row r="2" spans="1:10" ht="71.25" x14ac:dyDescent="0.2">
      <c r="A2" s="32">
        <v>8</v>
      </c>
      <c r="B2" s="90" t="s">
        <v>68</v>
      </c>
      <c r="C2" s="93">
        <v>123233333</v>
      </c>
      <c r="D2" s="3" t="s">
        <v>527</v>
      </c>
      <c r="E2" s="90" t="s">
        <v>67</v>
      </c>
      <c r="F2" s="32" t="s">
        <v>59</v>
      </c>
      <c r="G2" s="32" t="s">
        <v>69</v>
      </c>
      <c r="H2" s="32" t="s">
        <v>72</v>
      </c>
      <c r="I2" s="99" t="s">
        <v>73</v>
      </c>
      <c r="J2" s="33" t="s">
        <v>50</v>
      </c>
    </row>
    <row r="3" spans="1:10" ht="42.75" x14ac:dyDescent="0.2">
      <c r="A3" s="32">
        <v>9</v>
      </c>
      <c r="B3" s="90" t="s">
        <v>78</v>
      </c>
      <c r="C3" s="93">
        <v>72000000</v>
      </c>
      <c r="D3" s="3" t="s">
        <v>527</v>
      </c>
      <c r="E3" s="90" t="s">
        <v>67</v>
      </c>
      <c r="F3" s="32" t="s">
        <v>79</v>
      </c>
      <c r="G3" s="32" t="s">
        <v>80</v>
      </c>
      <c r="H3" s="32" t="s">
        <v>72</v>
      </c>
      <c r="I3" s="99" t="s">
        <v>73</v>
      </c>
      <c r="J3" s="33" t="s">
        <v>50</v>
      </c>
    </row>
    <row r="4" spans="1:10" ht="42.75" x14ac:dyDescent="0.2">
      <c r="A4" s="32">
        <v>10</v>
      </c>
      <c r="B4" s="90" t="s">
        <v>86</v>
      </c>
      <c r="C4" s="93">
        <v>115720000</v>
      </c>
      <c r="D4" s="3" t="s">
        <v>527</v>
      </c>
      <c r="E4" s="90" t="s">
        <v>85</v>
      </c>
      <c r="F4" s="32" t="s">
        <v>87</v>
      </c>
      <c r="G4" s="32" t="s">
        <v>79</v>
      </c>
      <c r="H4" s="32" t="s">
        <v>534</v>
      </c>
      <c r="I4" s="95" t="s">
        <v>351</v>
      </c>
      <c r="J4" s="33" t="s">
        <v>50</v>
      </c>
    </row>
    <row r="5" spans="1:10" ht="57" x14ac:dyDescent="0.2">
      <c r="A5" s="32">
        <v>12</v>
      </c>
      <c r="B5" s="90" t="s">
        <v>90</v>
      </c>
      <c r="C5" s="93">
        <v>94680000</v>
      </c>
      <c r="D5" s="3" t="s">
        <v>527</v>
      </c>
      <c r="E5" s="90" t="s">
        <v>85</v>
      </c>
      <c r="F5" s="32" t="s">
        <v>87</v>
      </c>
      <c r="G5" s="32" t="s">
        <v>79</v>
      </c>
      <c r="H5" s="32" t="s">
        <v>350</v>
      </c>
      <c r="I5" s="32" t="s">
        <v>351</v>
      </c>
      <c r="J5" s="33" t="s">
        <v>50</v>
      </c>
    </row>
    <row r="6" spans="1:10" ht="42.75" x14ac:dyDescent="0.2">
      <c r="A6" s="32">
        <v>16</v>
      </c>
      <c r="B6" s="90" t="s">
        <v>93</v>
      </c>
      <c r="C6" s="93">
        <v>94680000</v>
      </c>
      <c r="D6" s="3" t="s">
        <v>527</v>
      </c>
      <c r="E6" s="90" t="s">
        <v>85</v>
      </c>
      <c r="F6" s="32" t="s">
        <v>87</v>
      </c>
      <c r="G6" s="32" t="s">
        <v>79</v>
      </c>
      <c r="H6" s="32" t="s">
        <v>350</v>
      </c>
      <c r="I6" s="32" t="s">
        <v>351</v>
      </c>
      <c r="J6" s="33" t="s">
        <v>50</v>
      </c>
    </row>
    <row r="7" spans="1:10" ht="71.25" x14ac:dyDescent="0.2">
      <c r="A7" s="32">
        <v>17</v>
      </c>
      <c r="B7" s="90" t="s">
        <v>99</v>
      </c>
      <c r="C7" s="93">
        <v>57600000</v>
      </c>
      <c r="D7" s="3" t="s">
        <v>527</v>
      </c>
      <c r="E7" s="90" t="s">
        <v>98</v>
      </c>
      <c r="F7" s="32" t="s">
        <v>87</v>
      </c>
      <c r="G7" s="32" t="s">
        <v>79</v>
      </c>
      <c r="H7" s="32" t="s">
        <v>506</v>
      </c>
      <c r="I7" s="32" t="s">
        <v>507</v>
      </c>
      <c r="J7" s="33" t="s">
        <v>50</v>
      </c>
    </row>
    <row r="8" spans="1:10" ht="71.25" x14ac:dyDescent="0.2">
      <c r="A8" s="32">
        <v>18</v>
      </c>
      <c r="B8" s="90" t="s">
        <v>102</v>
      </c>
      <c r="C8" s="93">
        <v>99000000</v>
      </c>
      <c r="D8" s="3" t="s">
        <v>527</v>
      </c>
      <c r="E8" s="90" t="s">
        <v>98</v>
      </c>
      <c r="F8" s="32" t="s">
        <v>87</v>
      </c>
      <c r="G8" s="32" t="s">
        <v>79</v>
      </c>
      <c r="H8" s="32" t="s">
        <v>506</v>
      </c>
      <c r="I8" s="32" t="s">
        <v>507</v>
      </c>
      <c r="J8" s="33" t="s">
        <v>50</v>
      </c>
    </row>
    <row r="9" spans="1:10" ht="71.25" x14ac:dyDescent="0.2">
      <c r="A9" s="32">
        <v>19</v>
      </c>
      <c r="B9" s="90" t="s">
        <v>103</v>
      </c>
      <c r="C9" s="93">
        <v>90000000</v>
      </c>
      <c r="D9" s="3" t="s">
        <v>527</v>
      </c>
      <c r="E9" s="90" t="s">
        <v>98</v>
      </c>
      <c r="F9" s="32" t="s">
        <v>87</v>
      </c>
      <c r="G9" s="32" t="s">
        <v>79</v>
      </c>
      <c r="H9" s="32" t="s">
        <v>506</v>
      </c>
      <c r="I9" s="32" t="s">
        <v>507</v>
      </c>
      <c r="J9" s="33" t="s">
        <v>50</v>
      </c>
    </row>
    <row r="10" spans="1:10" ht="42.75" x14ac:dyDescent="0.2">
      <c r="A10" s="32">
        <v>21</v>
      </c>
      <c r="B10" s="90" t="s">
        <v>120</v>
      </c>
      <c r="C10" s="93">
        <v>490000000</v>
      </c>
      <c r="D10" s="91" t="s">
        <v>530</v>
      </c>
      <c r="E10" s="90" t="s">
        <v>109</v>
      </c>
      <c r="F10" s="32" t="s">
        <v>79</v>
      </c>
      <c r="G10" s="32" t="s">
        <v>121</v>
      </c>
      <c r="H10" s="32" t="s">
        <v>114</v>
      </c>
      <c r="I10" s="99" t="s">
        <v>115</v>
      </c>
      <c r="J10" s="33" t="s">
        <v>50</v>
      </c>
    </row>
    <row r="11" spans="1:10" ht="42.75" x14ac:dyDescent="0.2">
      <c r="A11" s="32">
        <v>22</v>
      </c>
      <c r="B11" s="90" t="s">
        <v>532</v>
      </c>
      <c r="C11" s="93">
        <v>57500000</v>
      </c>
      <c r="D11" s="91" t="s">
        <v>537</v>
      </c>
      <c r="E11" s="90" t="s">
        <v>109</v>
      </c>
      <c r="F11" s="32" t="s">
        <v>87</v>
      </c>
      <c r="G11" s="32" t="s">
        <v>87</v>
      </c>
      <c r="H11" s="32" t="s">
        <v>114</v>
      </c>
      <c r="I11" s="99" t="s">
        <v>115</v>
      </c>
      <c r="J11" s="33" t="s">
        <v>50</v>
      </c>
    </row>
    <row r="12" spans="1:10" ht="28.5" x14ac:dyDescent="0.2">
      <c r="A12" s="32">
        <v>23</v>
      </c>
      <c r="B12" s="90" t="s">
        <v>137</v>
      </c>
      <c r="C12" s="93">
        <v>14235000</v>
      </c>
      <c r="D12" s="91" t="s">
        <v>528</v>
      </c>
      <c r="E12" s="90" t="s">
        <v>109</v>
      </c>
      <c r="F12" s="32" t="s">
        <v>59</v>
      </c>
      <c r="G12" s="32" t="s">
        <v>59</v>
      </c>
      <c r="H12" s="32" t="s">
        <v>114</v>
      </c>
      <c r="I12" s="99" t="s">
        <v>115</v>
      </c>
      <c r="J12" s="33" t="s">
        <v>50</v>
      </c>
    </row>
    <row r="13" spans="1:10" ht="42.75" x14ac:dyDescent="0.2">
      <c r="A13" s="32">
        <v>24</v>
      </c>
      <c r="B13" s="90" t="s">
        <v>143</v>
      </c>
      <c r="C13" s="93">
        <v>680000000</v>
      </c>
      <c r="D13" s="91" t="s">
        <v>528</v>
      </c>
      <c r="E13" s="90" t="s">
        <v>109</v>
      </c>
      <c r="F13" s="32" t="s">
        <v>87</v>
      </c>
      <c r="G13" s="32" t="s">
        <v>87</v>
      </c>
      <c r="H13" s="32" t="s">
        <v>114</v>
      </c>
      <c r="I13" s="99" t="s">
        <v>115</v>
      </c>
      <c r="J13" s="33" t="s">
        <v>50</v>
      </c>
    </row>
    <row r="14" spans="1:10" ht="42.75" x14ac:dyDescent="0.2">
      <c r="A14" s="32">
        <v>28</v>
      </c>
      <c r="B14" s="90" t="s">
        <v>170</v>
      </c>
      <c r="C14" s="96">
        <v>67616250</v>
      </c>
      <c r="D14" s="3" t="s">
        <v>527</v>
      </c>
      <c r="E14" s="92" t="s">
        <v>163</v>
      </c>
      <c r="F14" s="32" t="s">
        <v>59</v>
      </c>
      <c r="G14" s="100" t="s">
        <v>59</v>
      </c>
      <c r="H14" s="33" t="s">
        <v>165</v>
      </c>
      <c r="I14" s="101" t="s">
        <v>166</v>
      </c>
      <c r="J14" s="33" t="s">
        <v>50</v>
      </c>
    </row>
    <row r="15" spans="1:10" ht="42.75" x14ac:dyDescent="0.2">
      <c r="A15" s="32">
        <v>29</v>
      </c>
      <c r="B15" s="90" t="s">
        <v>170</v>
      </c>
      <c r="C15" s="96">
        <v>67616250</v>
      </c>
      <c r="D15" s="3" t="s">
        <v>527</v>
      </c>
      <c r="E15" s="92" t="s">
        <v>163</v>
      </c>
      <c r="F15" s="32" t="s">
        <v>59</v>
      </c>
      <c r="G15" s="100" t="s">
        <v>59</v>
      </c>
      <c r="H15" s="33" t="s">
        <v>165</v>
      </c>
      <c r="I15" s="101" t="s">
        <v>166</v>
      </c>
      <c r="J15" s="33" t="s">
        <v>50</v>
      </c>
    </row>
    <row r="16" spans="1:10" ht="28.5" x14ac:dyDescent="0.2">
      <c r="A16" s="32">
        <v>30</v>
      </c>
      <c r="B16" s="90" t="s">
        <v>177</v>
      </c>
      <c r="C16" s="93">
        <v>40000000</v>
      </c>
      <c r="D16" s="3" t="s">
        <v>538</v>
      </c>
      <c r="E16" s="90" t="s">
        <v>176</v>
      </c>
      <c r="F16" s="32" t="s">
        <v>87</v>
      </c>
      <c r="G16" s="32" t="s">
        <v>87</v>
      </c>
      <c r="H16" s="32" t="s">
        <v>178</v>
      </c>
      <c r="I16" s="32" t="s">
        <v>179</v>
      </c>
      <c r="J16" s="33" t="s">
        <v>50</v>
      </c>
    </row>
    <row r="17" spans="1:10" ht="42.75" x14ac:dyDescent="0.2">
      <c r="A17" s="32">
        <v>31</v>
      </c>
      <c r="B17" s="90" t="s">
        <v>183</v>
      </c>
      <c r="C17" s="93">
        <v>54600000</v>
      </c>
      <c r="D17" s="3" t="s">
        <v>527</v>
      </c>
      <c r="E17" s="90" t="s">
        <v>176</v>
      </c>
      <c r="F17" s="32" t="s">
        <v>59</v>
      </c>
      <c r="G17" s="32" t="s">
        <v>59</v>
      </c>
      <c r="H17" s="32" t="s">
        <v>178</v>
      </c>
      <c r="I17" s="32" t="s">
        <v>179</v>
      </c>
      <c r="J17" s="33" t="s">
        <v>50</v>
      </c>
    </row>
    <row r="18" spans="1:10" ht="42.75" x14ac:dyDescent="0.2">
      <c r="A18" s="32">
        <v>32</v>
      </c>
      <c r="B18" s="90" t="s">
        <v>184</v>
      </c>
      <c r="C18" s="93">
        <v>54600000</v>
      </c>
      <c r="D18" s="3" t="s">
        <v>527</v>
      </c>
      <c r="E18" s="90" t="s">
        <v>176</v>
      </c>
      <c r="F18" s="32" t="s">
        <v>59</v>
      </c>
      <c r="G18" s="32" t="s">
        <v>59</v>
      </c>
      <c r="H18" s="32" t="s">
        <v>178</v>
      </c>
      <c r="I18" s="32" t="s">
        <v>179</v>
      </c>
      <c r="J18" s="33" t="s">
        <v>50</v>
      </c>
    </row>
    <row r="19" spans="1:10" ht="42.75" x14ac:dyDescent="0.2">
      <c r="A19" s="32">
        <v>36</v>
      </c>
      <c r="B19" s="90" t="s">
        <v>200</v>
      </c>
      <c r="C19" s="93">
        <v>13456000</v>
      </c>
      <c r="D19" s="91" t="s">
        <v>528</v>
      </c>
      <c r="E19" s="90" t="s">
        <v>190</v>
      </c>
      <c r="F19" s="32" t="s">
        <v>87</v>
      </c>
      <c r="G19" s="32" t="s">
        <v>87</v>
      </c>
      <c r="H19" s="32" t="s">
        <v>191</v>
      </c>
      <c r="I19" s="32" t="s">
        <v>192</v>
      </c>
      <c r="J19" s="33" t="s">
        <v>50</v>
      </c>
    </row>
    <row r="20" spans="1:10" ht="42.75" x14ac:dyDescent="0.2">
      <c r="A20" s="32">
        <v>37</v>
      </c>
      <c r="B20" s="90" t="s">
        <v>203</v>
      </c>
      <c r="C20" s="93">
        <v>30000000</v>
      </c>
      <c r="D20" s="91" t="s">
        <v>528</v>
      </c>
      <c r="E20" s="90" t="s">
        <v>190</v>
      </c>
      <c r="F20" s="32" t="s">
        <v>87</v>
      </c>
      <c r="G20" s="32" t="s">
        <v>79</v>
      </c>
      <c r="H20" s="32" t="s">
        <v>191</v>
      </c>
      <c r="I20" s="32" t="s">
        <v>192</v>
      </c>
      <c r="J20" s="33" t="s">
        <v>50</v>
      </c>
    </row>
    <row r="21" spans="1:10" ht="28.5" x14ac:dyDescent="0.2">
      <c r="A21" s="32">
        <v>38</v>
      </c>
      <c r="B21" s="90" t="s">
        <v>456</v>
      </c>
      <c r="C21" s="93">
        <v>56564320</v>
      </c>
      <c r="D21" s="91" t="s">
        <v>528</v>
      </c>
      <c r="E21" s="90" t="s">
        <v>190</v>
      </c>
      <c r="F21" s="32" t="s">
        <v>79</v>
      </c>
      <c r="G21" s="32" t="s">
        <v>121</v>
      </c>
      <c r="H21" s="32" t="s">
        <v>191</v>
      </c>
      <c r="I21" s="32" t="s">
        <v>192</v>
      </c>
      <c r="J21" s="33" t="s">
        <v>50</v>
      </c>
    </row>
    <row r="22" spans="1:10" ht="42.75" x14ac:dyDescent="0.2">
      <c r="A22" s="32">
        <v>39</v>
      </c>
      <c r="B22" s="90" t="s">
        <v>210</v>
      </c>
      <c r="C22" s="93">
        <v>20000000</v>
      </c>
      <c r="D22" s="91" t="s">
        <v>528</v>
      </c>
      <c r="E22" s="90" t="s">
        <v>190</v>
      </c>
      <c r="F22" s="32" t="s">
        <v>59</v>
      </c>
      <c r="G22" s="32" t="s">
        <v>87</v>
      </c>
      <c r="H22" s="32" t="s">
        <v>191</v>
      </c>
      <c r="I22" s="32" t="s">
        <v>211</v>
      </c>
      <c r="J22" s="33" t="s">
        <v>50</v>
      </c>
    </row>
    <row r="23" spans="1:10" ht="71.25" x14ac:dyDescent="0.2">
      <c r="A23" s="32">
        <v>41</v>
      </c>
      <c r="B23" s="90" t="s">
        <v>223</v>
      </c>
      <c r="C23" s="93">
        <v>800000000</v>
      </c>
      <c r="D23" s="91" t="s">
        <v>529</v>
      </c>
      <c r="E23" s="90" t="s">
        <v>190</v>
      </c>
      <c r="F23" s="32" t="s">
        <v>224</v>
      </c>
      <c r="G23" s="32" t="s">
        <v>225</v>
      </c>
      <c r="H23" s="32" t="s">
        <v>191</v>
      </c>
      <c r="I23" s="32" t="s">
        <v>192</v>
      </c>
      <c r="J23" s="33" t="s">
        <v>50</v>
      </c>
    </row>
    <row r="24" spans="1:10" ht="28.5" x14ac:dyDescent="0.2">
      <c r="A24" s="32">
        <v>42</v>
      </c>
      <c r="B24" s="90" t="s">
        <v>230</v>
      </c>
      <c r="C24" s="93">
        <v>5000000</v>
      </c>
      <c r="D24" s="91" t="s">
        <v>528</v>
      </c>
      <c r="E24" s="90" t="s">
        <v>190</v>
      </c>
      <c r="F24" s="32" t="s">
        <v>231</v>
      </c>
      <c r="G24" s="32" t="s">
        <v>231</v>
      </c>
      <c r="H24" s="32" t="s">
        <v>191</v>
      </c>
      <c r="I24" s="32" t="s">
        <v>211</v>
      </c>
      <c r="J24" s="33" t="s">
        <v>50</v>
      </c>
    </row>
    <row r="25" spans="1:10" ht="71.25" x14ac:dyDescent="0.2">
      <c r="A25" s="32">
        <v>45</v>
      </c>
      <c r="B25" s="90" t="s">
        <v>241</v>
      </c>
      <c r="C25" s="93">
        <v>50000000</v>
      </c>
      <c r="D25" s="3" t="s">
        <v>527</v>
      </c>
      <c r="E25" s="90" t="s">
        <v>190</v>
      </c>
      <c r="F25" s="32" t="s">
        <v>59</v>
      </c>
      <c r="G25" s="32" t="s">
        <v>59</v>
      </c>
      <c r="H25" s="32" t="s">
        <v>191</v>
      </c>
      <c r="I25" s="32" t="s">
        <v>192</v>
      </c>
      <c r="J25" s="33" t="s">
        <v>50</v>
      </c>
    </row>
    <row r="26" spans="1:10" ht="28.5" x14ac:dyDescent="0.2">
      <c r="A26" s="32">
        <v>47</v>
      </c>
      <c r="B26" s="90" t="s">
        <v>463</v>
      </c>
      <c r="C26" s="93">
        <v>14395000</v>
      </c>
      <c r="D26" s="3" t="s">
        <v>538</v>
      </c>
      <c r="E26" s="90" t="s">
        <v>190</v>
      </c>
      <c r="F26" s="32" t="s">
        <v>59</v>
      </c>
      <c r="G26" s="32" t="s">
        <v>59</v>
      </c>
      <c r="H26" s="32" t="s">
        <v>191</v>
      </c>
      <c r="I26" s="32" t="s">
        <v>211</v>
      </c>
      <c r="J26" s="33" t="s">
        <v>50</v>
      </c>
    </row>
    <row r="27" spans="1:10" ht="57" x14ac:dyDescent="0.2">
      <c r="A27" s="32">
        <v>48</v>
      </c>
      <c r="B27" s="90" t="s">
        <v>246</v>
      </c>
      <c r="C27" s="93">
        <v>106000000</v>
      </c>
      <c r="D27" s="3" t="s">
        <v>527</v>
      </c>
      <c r="E27" s="90" t="s">
        <v>245</v>
      </c>
      <c r="F27" s="32" t="s">
        <v>59</v>
      </c>
      <c r="G27" s="32" t="s">
        <v>59</v>
      </c>
      <c r="H27" s="32" t="s">
        <v>542</v>
      </c>
      <c r="I27" s="99" t="s">
        <v>251</v>
      </c>
      <c r="J27" s="33" t="s">
        <v>50</v>
      </c>
    </row>
    <row r="28" spans="1:10" ht="42.75" x14ac:dyDescent="0.2">
      <c r="A28" s="32">
        <v>49</v>
      </c>
      <c r="B28" s="90" t="s">
        <v>254</v>
      </c>
      <c r="C28" s="93">
        <v>237857192</v>
      </c>
      <c r="D28" s="3" t="s">
        <v>527</v>
      </c>
      <c r="E28" s="90" t="s">
        <v>245</v>
      </c>
      <c r="F28" s="32" t="s">
        <v>224</v>
      </c>
      <c r="G28" s="32" t="s">
        <v>225</v>
      </c>
      <c r="H28" s="32" t="s">
        <v>249</v>
      </c>
      <c r="I28" s="99" t="s">
        <v>251</v>
      </c>
      <c r="J28" s="33" t="s">
        <v>50</v>
      </c>
    </row>
    <row r="29" spans="1:10" ht="71.25" x14ac:dyDescent="0.2">
      <c r="A29" s="32">
        <v>51</v>
      </c>
      <c r="B29" s="90" t="s">
        <v>266</v>
      </c>
      <c r="C29" s="93">
        <v>600000000</v>
      </c>
      <c r="D29" s="91" t="s">
        <v>528</v>
      </c>
      <c r="E29" s="90" t="s">
        <v>245</v>
      </c>
      <c r="F29" s="32" t="s">
        <v>59</v>
      </c>
      <c r="G29" s="32" t="s">
        <v>59</v>
      </c>
      <c r="H29" s="32" t="s">
        <v>249</v>
      </c>
      <c r="I29" s="99" t="s">
        <v>251</v>
      </c>
      <c r="J29" s="33" t="s">
        <v>50</v>
      </c>
    </row>
    <row r="30" spans="1:10" ht="42.75" x14ac:dyDescent="0.2">
      <c r="A30" s="32">
        <v>52</v>
      </c>
      <c r="B30" s="90" t="s">
        <v>270</v>
      </c>
      <c r="C30" s="93">
        <v>21345000</v>
      </c>
      <c r="D30" s="3" t="s">
        <v>527</v>
      </c>
      <c r="E30" s="90" t="s">
        <v>269</v>
      </c>
      <c r="F30" s="32" t="s">
        <v>87</v>
      </c>
      <c r="G30" s="32" t="s">
        <v>87</v>
      </c>
      <c r="H30" s="32" t="s">
        <v>271</v>
      </c>
      <c r="I30" s="32" t="s">
        <v>272</v>
      </c>
      <c r="J30" s="33" t="s">
        <v>50</v>
      </c>
    </row>
    <row r="31" spans="1:10" ht="42.75" x14ac:dyDescent="0.2">
      <c r="A31" s="32">
        <v>53</v>
      </c>
      <c r="B31" s="90" t="s">
        <v>273</v>
      </c>
      <c r="C31" s="93">
        <v>62776350</v>
      </c>
      <c r="D31" s="3" t="s">
        <v>527</v>
      </c>
      <c r="E31" s="90" t="s">
        <v>269</v>
      </c>
      <c r="F31" s="32" t="s">
        <v>87</v>
      </c>
      <c r="G31" s="32" t="s">
        <v>87</v>
      </c>
      <c r="H31" s="32" t="s">
        <v>271</v>
      </c>
      <c r="I31" s="32" t="s">
        <v>272</v>
      </c>
      <c r="J31" s="33" t="s">
        <v>50</v>
      </c>
    </row>
    <row r="32" spans="1:10" ht="42.75" x14ac:dyDescent="0.2">
      <c r="A32" s="32">
        <v>56</v>
      </c>
      <c r="B32" s="90" t="s">
        <v>274</v>
      </c>
      <c r="C32" s="93">
        <v>38421000</v>
      </c>
      <c r="D32" s="3" t="s">
        <v>527</v>
      </c>
      <c r="E32" s="90" t="s">
        <v>269</v>
      </c>
      <c r="F32" s="32" t="s">
        <v>87</v>
      </c>
      <c r="G32" s="32" t="s">
        <v>87</v>
      </c>
      <c r="H32" s="32" t="s">
        <v>271</v>
      </c>
      <c r="I32" s="32" t="s">
        <v>272</v>
      </c>
      <c r="J32" s="33" t="s">
        <v>50</v>
      </c>
    </row>
    <row r="33" spans="1:10" ht="42.75" x14ac:dyDescent="0.2">
      <c r="A33" s="32">
        <v>57</v>
      </c>
      <c r="B33" s="90" t="s">
        <v>274</v>
      </c>
      <c r="C33" s="93">
        <v>38421000</v>
      </c>
      <c r="D33" s="3" t="s">
        <v>527</v>
      </c>
      <c r="E33" s="90" t="s">
        <v>269</v>
      </c>
      <c r="F33" s="32" t="s">
        <v>87</v>
      </c>
      <c r="G33" s="32" t="s">
        <v>87</v>
      </c>
      <c r="H33" s="32" t="s">
        <v>271</v>
      </c>
      <c r="I33" s="32" t="s">
        <v>272</v>
      </c>
      <c r="J33" s="33" t="s">
        <v>50</v>
      </c>
    </row>
    <row r="34" spans="1:10" ht="42.75" x14ac:dyDescent="0.2">
      <c r="A34" s="32">
        <v>58</v>
      </c>
      <c r="B34" s="90" t="s">
        <v>274</v>
      </c>
      <c r="C34" s="93">
        <v>34164000</v>
      </c>
      <c r="D34" s="3" t="s">
        <v>527</v>
      </c>
      <c r="E34" s="90" t="s">
        <v>269</v>
      </c>
      <c r="F34" s="32" t="s">
        <v>87</v>
      </c>
      <c r="G34" s="32" t="s">
        <v>87</v>
      </c>
      <c r="H34" s="32" t="s">
        <v>271</v>
      </c>
      <c r="I34" s="32" t="s">
        <v>272</v>
      </c>
      <c r="J34" s="33" t="s">
        <v>50</v>
      </c>
    </row>
    <row r="35" spans="1:10" ht="57" x14ac:dyDescent="0.2">
      <c r="A35" s="32">
        <v>59</v>
      </c>
      <c r="B35" s="90" t="s">
        <v>281</v>
      </c>
      <c r="C35" s="96">
        <v>670000000</v>
      </c>
      <c r="D35" s="91" t="s">
        <v>528</v>
      </c>
      <c r="E35" s="92" t="s">
        <v>279</v>
      </c>
      <c r="F35" s="33" t="s">
        <v>121</v>
      </c>
      <c r="G35" s="33" t="s">
        <v>282</v>
      </c>
      <c r="H35" s="32" t="s">
        <v>284</v>
      </c>
      <c r="I35" s="101" t="s">
        <v>285</v>
      </c>
      <c r="J35" s="33" t="s">
        <v>50</v>
      </c>
    </row>
    <row r="36" spans="1:10" ht="42.75" x14ac:dyDescent="0.2">
      <c r="A36" s="32">
        <v>60</v>
      </c>
      <c r="B36" s="90" t="s">
        <v>288</v>
      </c>
      <c r="C36" s="96">
        <v>52130000</v>
      </c>
      <c r="D36" s="3" t="s">
        <v>527</v>
      </c>
      <c r="E36" s="92" t="s">
        <v>279</v>
      </c>
      <c r="F36" s="32" t="s">
        <v>59</v>
      </c>
      <c r="G36" s="33" t="s">
        <v>59</v>
      </c>
      <c r="H36" s="32" t="s">
        <v>284</v>
      </c>
      <c r="I36" s="101" t="s">
        <v>285</v>
      </c>
      <c r="J36" s="33" t="s">
        <v>50</v>
      </c>
    </row>
    <row r="37" spans="1:10" ht="28.5" x14ac:dyDescent="0.2">
      <c r="A37" s="32">
        <v>61</v>
      </c>
      <c r="B37" s="90" t="s">
        <v>291</v>
      </c>
      <c r="C37" s="96">
        <v>100000000</v>
      </c>
      <c r="D37" s="3" t="s">
        <v>527</v>
      </c>
      <c r="E37" s="92" t="s">
        <v>279</v>
      </c>
      <c r="F37" s="32" t="s">
        <v>87</v>
      </c>
      <c r="G37" s="33" t="s">
        <v>79</v>
      </c>
      <c r="H37" s="32" t="s">
        <v>284</v>
      </c>
      <c r="I37" s="101" t="s">
        <v>285</v>
      </c>
      <c r="J37" s="33" t="s">
        <v>50</v>
      </c>
    </row>
    <row r="38" spans="1:10" ht="57" x14ac:dyDescent="0.2">
      <c r="A38" s="32">
        <v>62</v>
      </c>
      <c r="B38" s="90" t="s">
        <v>297</v>
      </c>
      <c r="C38" s="96">
        <v>77000000</v>
      </c>
      <c r="D38" s="91" t="s">
        <v>537</v>
      </c>
      <c r="E38" s="92" t="s">
        <v>279</v>
      </c>
      <c r="F38" s="32" t="s">
        <v>87</v>
      </c>
      <c r="G38" s="33" t="s">
        <v>79</v>
      </c>
      <c r="H38" s="32" t="s">
        <v>284</v>
      </c>
      <c r="I38" s="101" t="s">
        <v>285</v>
      </c>
      <c r="J38" s="33" t="s">
        <v>50</v>
      </c>
    </row>
    <row r="39" spans="1:10" ht="57" x14ac:dyDescent="0.2">
      <c r="A39" s="32">
        <v>63</v>
      </c>
      <c r="B39" s="90" t="s">
        <v>304</v>
      </c>
      <c r="C39" s="93">
        <v>1407317170</v>
      </c>
      <c r="D39" s="91" t="s">
        <v>529</v>
      </c>
      <c r="E39" s="90" t="s">
        <v>302</v>
      </c>
      <c r="F39" s="32" t="s">
        <v>87</v>
      </c>
      <c r="G39" s="33" t="s">
        <v>79</v>
      </c>
      <c r="H39" s="32" t="s">
        <v>305</v>
      </c>
      <c r="I39" s="32" t="s">
        <v>306</v>
      </c>
      <c r="J39" s="33" t="s">
        <v>50</v>
      </c>
    </row>
    <row r="40" spans="1:10" ht="42.75" x14ac:dyDescent="0.2">
      <c r="A40" s="32">
        <v>67</v>
      </c>
      <c r="B40" s="90" t="s">
        <v>321</v>
      </c>
      <c r="C40" s="93">
        <v>1400000000</v>
      </c>
      <c r="D40" s="91" t="s">
        <v>529</v>
      </c>
      <c r="E40" s="90" t="s">
        <v>302</v>
      </c>
      <c r="F40" s="32" t="s">
        <v>59</v>
      </c>
      <c r="G40" s="32" t="s">
        <v>87</v>
      </c>
      <c r="H40" s="32" t="s">
        <v>305</v>
      </c>
      <c r="I40" s="32" t="s">
        <v>306</v>
      </c>
      <c r="J40" s="33" t="s">
        <v>50</v>
      </c>
    </row>
    <row r="41" spans="1:10" ht="42.75" x14ac:dyDescent="0.2">
      <c r="A41" s="32">
        <v>68</v>
      </c>
      <c r="B41" s="90" t="s">
        <v>326</v>
      </c>
      <c r="C41" s="93">
        <v>3000000000</v>
      </c>
      <c r="D41" s="91" t="s">
        <v>529</v>
      </c>
      <c r="E41" s="90" t="s">
        <v>302</v>
      </c>
      <c r="F41" s="32" t="s">
        <v>59</v>
      </c>
      <c r="G41" s="32" t="s">
        <v>87</v>
      </c>
      <c r="H41" s="32" t="s">
        <v>305</v>
      </c>
      <c r="I41" s="32" t="s">
        <v>306</v>
      </c>
      <c r="J41" s="33" t="s">
        <v>50</v>
      </c>
    </row>
    <row r="42" spans="1:10" ht="71.25" x14ac:dyDescent="0.2">
      <c r="A42" s="32">
        <v>69</v>
      </c>
      <c r="B42" s="90" t="s">
        <v>327</v>
      </c>
      <c r="C42" s="93">
        <v>1950000000</v>
      </c>
      <c r="D42" s="91" t="s">
        <v>529</v>
      </c>
      <c r="E42" s="90" t="s">
        <v>302</v>
      </c>
      <c r="F42" s="32" t="s">
        <v>59</v>
      </c>
      <c r="G42" s="32" t="s">
        <v>87</v>
      </c>
      <c r="H42" s="32" t="s">
        <v>305</v>
      </c>
      <c r="I42" s="32" t="s">
        <v>306</v>
      </c>
      <c r="J42" s="33" t="s">
        <v>50</v>
      </c>
    </row>
    <row r="43" spans="1:10" ht="42.75" x14ac:dyDescent="0.2">
      <c r="A43" s="32">
        <v>70</v>
      </c>
      <c r="B43" s="90" t="s">
        <v>329</v>
      </c>
      <c r="C43" s="93">
        <v>35000000</v>
      </c>
      <c r="D43" s="91" t="s">
        <v>528</v>
      </c>
      <c r="E43" s="90" t="s">
        <v>302</v>
      </c>
      <c r="F43" s="32" t="s">
        <v>224</v>
      </c>
      <c r="G43" s="32" t="s">
        <v>225</v>
      </c>
      <c r="H43" s="32" t="s">
        <v>305</v>
      </c>
      <c r="I43" s="32" t="s">
        <v>306</v>
      </c>
      <c r="J43" s="33" t="s">
        <v>50</v>
      </c>
    </row>
    <row r="44" spans="1:10" ht="28.5" x14ac:dyDescent="0.2">
      <c r="A44" s="32">
        <v>71</v>
      </c>
      <c r="B44" s="90" t="s">
        <v>330</v>
      </c>
      <c r="C44" s="93">
        <v>140000000</v>
      </c>
      <c r="D44" s="3" t="s">
        <v>527</v>
      </c>
      <c r="E44" s="90" t="s">
        <v>302</v>
      </c>
      <c r="F44" s="32" t="s">
        <v>121</v>
      </c>
      <c r="G44" s="32" t="s">
        <v>282</v>
      </c>
      <c r="H44" s="32" t="s">
        <v>305</v>
      </c>
      <c r="I44" s="32" t="s">
        <v>306</v>
      </c>
      <c r="J44" s="33" t="s">
        <v>50</v>
      </c>
    </row>
    <row r="45" spans="1:10" ht="42.75" x14ac:dyDescent="0.2">
      <c r="A45" s="32">
        <v>72</v>
      </c>
      <c r="B45" s="90" t="s">
        <v>332</v>
      </c>
      <c r="C45" s="93">
        <v>110000000</v>
      </c>
      <c r="D45" s="91" t="s">
        <v>528</v>
      </c>
      <c r="E45" s="90" t="s">
        <v>302</v>
      </c>
      <c r="F45" s="32" t="s">
        <v>59</v>
      </c>
      <c r="G45" s="32" t="s">
        <v>87</v>
      </c>
      <c r="H45" s="32" t="s">
        <v>305</v>
      </c>
      <c r="I45" s="32" t="s">
        <v>306</v>
      </c>
      <c r="J45" s="33" t="s">
        <v>50</v>
      </c>
    </row>
    <row r="46" spans="1:10" ht="28.5" x14ac:dyDescent="0.2">
      <c r="A46" s="32">
        <v>73</v>
      </c>
      <c r="B46" s="90" t="s">
        <v>334</v>
      </c>
      <c r="C46" s="93">
        <v>200000000</v>
      </c>
      <c r="D46" s="91" t="s">
        <v>528</v>
      </c>
      <c r="E46" s="90" t="s">
        <v>302</v>
      </c>
      <c r="F46" s="32" t="s">
        <v>224</v>
      </c>
      <c r="G46" s="32" t="s">
        <v>225</v>
      </c>
      <c r="H46" s="32" t="s">
        <v>305</v>
      </c>
      <c r="I46" s="32" t="s">
        <v>306</v>
      </c>
      <c r="J46" s="33" t="s">
        <v>50</v>
      </c>
    </row>
    <row r="47" spans="1:10" ht="42.75" x14ac:dyDescent="0.2">
      <c r="A47" s="32">
        <v>74</v>
      </c>
      <c r="B47" s="90" t="s">
        <v>337</v>
      </c>
      <c r="C47" s="93">
        <v>500000000</v>
      </c>
      <c r="D47" s="91" t="s">
        <v>528</v>
      </c>
      <c r="E47" s="90" t="s">
        <v>302</v>
      </c>
      <c r="F47" s="32" t="s">
        <v>282</v>
      </c>
      <c r="G47" s="32" t="s">
        <v>224</v>
      </c>
      <c r="H47" s="32" t="s">
        <v>305</v>
      </c>
      <c r="I47" s="32" t="s">
        <v>306</v>
      </c>
      <c r="J47" s="33" t="s">
        <v>50</v>
      </c>
    </row>
    <row r="48" spans="1:10" ht="28.5" x14ac:dyDescent="0.2">
      <c r="A48" s="32">
        <v>75</v>
      </c>
      <c r="B48" s="90" t="s">
        <v>339</v>
      </c>
      <c r="C48" s="93">
        <v>15000000</v>
      </c>
      <c r="D48" s="91" t="s">
        <v>528</v>
      </c>
      <c r="E48" s="90" t="s">
        <v>302</v>
      </c>
      <c r="F48" s="32" t="s">
        <v>224</v>
      </c>
      <c r="G48" s="32" t="s">
        <v>225</v>
      </c>
      <c r="H48" s="32" t="s">
        <v>305</v>
      </c>
      <c r="I48" s="32" t="s">
        <v>306</v>
      </c>
      <c r="J48" s="33" t="s">
        <v>50</v>
      </c>
    </row>
    <row r="49" spans="1:10" ht="42.75" x14ac:dyDescent="0.2">
      <c r="A49" s="32">
        <v>76</v>
      </c>
      <c r="B49" s="90" t="s">
        <v>341</v>
      </c>
      <c r="C49" s="93">
        <v>25000000</v>
      </c>
      <c r="D49" s="91" t="s">
        <v>530</v>
      </c>
      <c r="E49" s="90" t="s">
        <v>302</v>
      </c>
      <c r="F49" s="32" t="s">
        <v>282</v>
      </c>
      <c r="G49" s="32" t="s">
        <v>224</v>
      </c>
      <c r="H49" s="32" t="s">
        <v>305</v>
      </c>
      <c r="I49" s="32" t="s">
        <v>306</v>
      </c>
      <c r="J49" s="33" t="s">
        <v>50</v>
      </c>
    </row>
    <row r="50" spans="1:10" ht="42.75" x14ac:dyDescent="0.2">
      <c r="A50" s="32">
        <v>77</v>
      </c>
      <c r="B50" s="90" t="s">
        <v>344</v>
      </c>
      <c r="C50" s="93">
        <v>41500000</v>
      </c>
      <c r="D50" s="3" t="s">
        <v>527</v>
      </c>
      <c r="E50" s="90" t="s">
        <v>343</v>
      </c>
      <c r="F50" s="32" t="s">
        <v>79</v>
      </c>
      <c r="G50" s="32" t="s">
        <v>79</v>
      </c>
      <c r="H50" s="32" t="s">
        <v>543</v>
      </c>
      <c r="I50" s="32" t="s">
        <v>346</v>
      </c>
      <c r="J50" s="33" t="s">
        <v>50</v>
      </c>
    </row>
    <row r="51" spans="1:10" ht="28.5" x14ac:dyDescent="0.2">
      <c r="A51" s="32">
        <v>79</v>
      </c>
      <c r="B51" s="90" t="s">
        <v>352</v>
      </c>
      <c r="C51" s="93">
        <v>99000000</v>
      </c>
      <c r="D51" s="3" t="s">
        <v>527</v>
      </c>
      <c r="E51" s="90" t="s">
        <v>349</v>
      </c>
      <c r="F51" s="32" t="s">
        <v>87</v>
      </c>
      <c r="G51" s="32" t="s">
        <v>79</v>
      </c>
      <c r="H51" s="32" t="s">
        <v>350</v>
      </c>
      <c r="I51" s="32" t="s">
        <v>351</v>
      </c>
      <c r="J51" s="33" t="s">
        <v>50</v>
      </c>
    </row>
    <row r="52" spans="1:10" ht="71.25" x14ac:dyDescent="0.2">
      <c r="A52" s="32">
        <v>82</v>
      </c>
      <c r="B52" s="90" t="s">
        <v>363</v>
      </c>
      <c r="C52" s="93">
        <v>266258400</v>
      </c>
      <c r="D52" s="3" t="s">
        <v>527</v>
      </c>
      <c r="E52" s="90" t="s">
        <v>362</v>
      </c>
      <c r="F52" s="32" t="s">
        <v>87</v>
      </c>
      <c r="G52" s="32" t="s">
        <v>87</v>
      </c>
      <c r="H52" s="32" t="s">
        <v>364</v>
      </c>
      <c r="I52" s="32" t="s">
        <v>366</v>
      </c>
      <c r="J52" s="33" t="s">
        <v>50</v>
      </c>
    </row>
    <row r="53" spans="1:10" ht="85.5" x14ac:dyDescent="0.2">
      <c r="A53" s="32">
        <v>83</v>
      </c>
      <c r="B53" s="90" t="s">
        <v>367</v>
      </c>
      <c r="C53" s="93">
        <v>726424800</v>
      </c>
      <c r="D53" s="3" t="s">
        <v>527</v>
      </c>
      <c r="E53" s="90" t="s">
        <v>362</v>
      </c>
      <c r="F53" s="32" t="s">
        <v>87</v>
      </c>
      <c r="G53" s="32" t="s">
        <v>87</v>
      </c>
      <c r="H53" s="32" t="s">
        <v>364</v>
      </c>
      <c r="I53" s="32" t="s">
        <v>366</v>
      </c>
      <c r="J53" s="33" t="s">
        <v>50</v>
      </c>
    </row>
    <row r="54" spans="1:10" ht="99.75" x14ac:dyDescent="0.2">
      <c r="A54" s="32">
        <v>84</v>
      </c>
      <c r="B54" s="90" t="s">
        <v>368</v>
      </c>
      <c r="C54" s="93">
        <v>526204800</v>
      </c>
      <c r="D54" s="3" t="s">
        <v>527</v>
      </c>
      <c r="E54" s="90" t="s">
        <v>362</v>
      </c>
      <c r="F54" s="32" t="s">
        <v>87</v>
      </c>
      <c r="G54" s="32" t="s">
        <v>87</v>
      </c>
      <c r="H54" s="32" t="s">
        <v>364</v>
      </c>
      <c r="I54" s="32" t="s">
        <v>366</v>
      </c>
      <c r="J54" s="33" t="s">
        <v>50</v>
      </c>
    </row>
    <row r="55" spans="1:10" ht="71.25" x14ac:dyDescent="0.2">
      <c r="A55" s="32">
        <v>85</v>
      </c>
      <c r="B55" s="90" t="s">
        <v>369</v>
      </c>
      <c r="C55" s="93">
        <v>322995600</v>
      </c>
      <c r="D55" s="3" t="s">
        <v>527</v>
      </c>
      <c r="E55" s="90" t="s">
        <v>362</v>
      </c>
      <c r="F55" s="32" t="s">
        <v>59</v>
      </c>
      <c r="G55" s="32" t="s">
        <v>59</v>
      </c>
      <c r="H55" s="32" t="s">
        <v>364</v>
      </c>
      <c r="I55" s="32" t="s">
        <v>366</v>
      </c>
      <c r="J55" s="33" t="s">
        <v>50</v>
      </c>
    </row>
    <row r="56" spans="1:10" ht="42.75" x14ac:dyDescent="0.2">
      <c r="A56" s="32">
        <v>86</v>
      </c>
      <c r="B56" s="90" t="s">
        <v>370</v>
      </c>
      <c r="C56" s="93">
        <v>202368000</v>
      </c>
      <c r="D56" s="3" t="s">
        <v>527</v>
      </c>
      <c r="E56" s="90" t="s">
        <v>362</v>
      </c>
      <c r="F56" s="32" t="s">
        <v>282</v>
      </c>
      <c r="G56" s="32" t="s">
        <v>282</v>
      </c>
      <c r="H56" s="32" t="s">
        <v>364</v>
      </c>
      <c r="I56" s="32" t="s">
        <v>366</v>
      </c>
      <c r="J56" s="33" t="s">
        <v>50</v>
      </c>
    </row>
    <row r="57" spans="1:10" ht="57" x14ac:dyDescent="0.2">
      <c r="A57" s="32">
        <v>87</v>
      </c>
      <c r="B57" s="90" t="s">
        <v>372</v>
      </c>
      <c r="C57" s="93">
        <v>320000000</v>
      </c>
      <c r="D57" s="3" t="s">
        <v>527</v>
      </c>
      <c r="E57" s="90" t="s">
        <v>362</v>
      </c>
      <c r="F57" s="32" t="s">
        <v>59</v>
      </c>
      <c r="G57" s="32" t="s">
        <v>59</v>
      </c>
      <c r="H57" s="32" t="s">
        <v>364</v>
      </c>
      <c r="I57" s="32" t="s">
        <v>366</v>
      </c>
      <c r="J57" s="33" t="s">
        <v>50</v>
      </c>
    </row>
    <row r="58" spans="1:10" ht="42.75" x14ac:dyDescent="0.2">
      <c r="A58" s="32">
        <v>88</v>
      </c>
      <c r="B58" s="90" t="s">
        <v>373</v>
      </c>
      <c r="C58" s="93">
        <v>70466000</v>
      </c>
      <c r="D58" s="3" t="s">
        <v>527</v>
      </c>
      <c r="E58" s="90" t="s">
        <v>362</v>
      </c>
      <c r="F58" s="32" t="s">
        <v>59</v>
      </c>
      <c r="G58" s="32" t="s">
        <v>59</v>
      </c>
      <c r="H58" s="32" t="s">
        <v>364</v>
      </c>
      <c r="I58" s="32" t="s">
        <v>366</v>
      </c>
      <c r="J58" s="33" t="s">
        <v>50</v>
      </c>
    </row>
    <row r="59" spans="1:10" ht="42.75" x14ac:dyDescent="0.2">
      <c r="A59" s="32">
        <v>89</v>
      </c>
      <c r="B59" s="90" t="s">
        <v>374</v>
      </c>
      <c r="C59" s="93">
        <v>70466000</v>
      </c>
      <c r="D59" s="3" t="s">
        <v>527</v>
      </c>
      <c r="E59" s="90" t="s">
        <v>362</v>
      </c>
      <c r="F59" s="32" t="s">
        <v>59</v>
      </c>
      <c r="G59" s="32" t="s">
        <v>59</v>
      </c>
      <c r="H59" s="32" t="s">
        <v>364</v>
      </c>
      <c r="I59" s="32" t="s">
        <v>366</v>
      </c>
      <c r="J59" s="33" t="s">
        <v>50</v>
      </c>
    </row>
    <row r="60" spans="1:10" ht="42.75" x14ac:dyDescent="0.2">
      <c r="A60" s="32">
        <v>90</v>
      </c>
      <c r="B60" s="90" t="s">
        <v>375</v>
      </c>
      <c r="C60" s="93">
        <v>70466000</v>
      </c>
      <c r="D60" s="3" t="s">
        <v>527</v>
      </c>
      <c r="E60" s="90" t="s">
        <v>362</v>
      </c>
      <c r="F60" s="32" t="s">
        <v>59</v>
      </c>
      <c r="G60" s="32" t="s">
        <v>59</v>
      </c>
      <c r="H60" s="32" t="s">
        <v>364</v>
      </c>
      <c r="I60" s="32" t="s">
        <v>366</v>
      </c>
      <c r="J60" s="33" t="s">
        <v>50</v>
      </c>
    </row>
    <row r="61" spans="1:10" ht="42.75" x14ac:dyDescent="0.2">
      <c r="A61" s="32">
        <v>91</v>
      </c>
      <c r="B61" s="90" t="s">
        <v>378</v>
      </c>
      <c r="C61" s="93">
        <v>70463250</v>
      </c>
      <c r="D61" s="3" t="s">
        <v>527</v>
      </c>
      <c r="E61" s="90" t="s">
        <v>377</v>
      </c>
      <c r="F61" s="32" t="s">
        <v>59</v>
      </c>
      <c r="G61" s="32" t="s">
        <v>59</v>
      </c>
      <c r="H61" s="32" t="s">
        <v>379</v>
      </c>
      <c r="I61" s="32" t="s">
        <v>380</v>
      </c>
      <c r="J61" s="33" t="s">
        <v>50</v>
      </c>
    </row>
    <row r="62" spans="1:10" ht="57" x14ac:dyDescent="0.2">
      <c r="A62" s="32">
        <v>92</v>
      </c>
      <c r="B62" s="90" t="s">
        <v>381</v>
      </c>
      <c r="C62" s="93">
        <v>70463250</v>
      </c>
      <c r="D62" s="3" t="s">
        <v>527</v>
      </c>
      <c r="E62" s="90" t="s">
        <v>377</v>
      </c>
      <c r="F62" s="32" t="s">
        <v>59</v>
      </c>
      <c r="G62" s="32" t="s">
        <v>59</v>
      </c>
      <c r="H62" s="32" t="s">
        <v>379</v>
      </c>
      <c r="I62" s="32" t="s">
        <v>380</v>
      </c>
      <c r="J62" s="33" t="s">
        <v>50</v>
      </c>
    </row>
    <row r="63" spans="1:10" ht="42.75" x14ac:dyDescent="0.2">
      <c r="A63" s="32">
        <v>93</v>
      </c>
      <c r="B63" s="90" t="s">
        <v>382</v>
      </c>
      <c r="C63" s="93">
        <v>70463250</v>
      </c>
      <c r="D63" s="3" t="s">
        <v>527</v>
      </c>
      <c r="E63" s="90" t="s">
        <v>377</v>
      </c>
      <c r="F63" s="32" t="s">
        <v>59</v>
      </c>
      <c r="G63" s="32" t="s">
        <v>59</v>
      </c>
      <c r="H63" s="32" t="s">
        <v>379</v>
      </c>
      <c r="I63" s="32" t="s">
        <v>380</v>
      </c>
      <c r="J63" s="33" t="s">
        <v>50</v>
      </c>
    </row>
    <row r="64" spans="1:10" ht="71.25" x14ac:dyDescent="0.2">
      <c r="A64" s="32">
        <v>94</v>
      </c>
      <c r="B64" s="90" t="s">
        <v>383</v>
      </c>
      <c r="C64" s="93">
        <v>70463250</v>
      </c>
      <c r="D64" s="3" t="s">
        <v>527</v>
      </c>
      <c r="E64" s="90" t="s">
        <v>377</v>
      </c>
      <c r="F64" s="32" t="s">
        <v>59</v>
      </c>
      <c r="G64" s="32" t="s">
        <v>59</v>
      </c>
      <c r="H64" s="32" t="s">
        <v>379</v>
      </c>
      <c r="I64" s="32" t="s">
        <v>380</v>
      </c>
      <c r="J64" s="33" t="s">
        <v>50</v>
      </c>
    </row>
    <row r="65" spans="1:10" ht="57" x14ac:dyDescent="0.2">
      <c r="A65" s="32">
        <v>95</v>
      </c>
      <c r="B65" s="90" t="s">
        <v>384</v>
      </c>
      <c r="C65" s="93">
        <v>70463250</v>
      </c>
      <c r="D65" s="3" t="s">
        <v>527</v>
      </c>
      <c r="E65" s="90" t="s">
        <v>377</v>
      </c>
      <c r="F65" s="32" t="s">
        <v>59</v>
      </c>
      <c r="G65" s="32" t="s">
        <v>59</v>
      </c>
      <c r="H65" s="32" t="s">
        <v>379</v>
      </c>
      <c r="I65" s="32" t="s">
        <v>380</v>
      </c>
      <c r="J65" s="33" t="s">
        <v>50</v>
      </c>
    </row>
    <row r="66" spans="1:10" ht="57" x14ac:dyDescent="0.2">
      <c r="A66" s="32">
        <v>96</v>
      </c>
      <c r="B66" s="90" t="s">
        <v>386</v>
      </c>
      <c r="C66" s="93">
        <v>70463250</v>
      </c>
      <c r="D66" s="3" t="s">
        <v>527</v>
      </c>
      <c r="E66" s="90" t="s">
        <v>377</v>
      </c>
      <c r="F66" s="32" t="s">
        <v>59</v>
      </c>
      <c r="G66" s="32" t="s">
        <v>59</v>
      </c>
      <c r="H66" s="32" t="s">
        <v>379</v>
      </c>
      <c r="I66" s="32" t="s">
        <v>380</v>
      </c>
      <c r="J66" s="33" t="s">
        <v>50</v>
      </c>
    </row>
    <row r="67" spans="1:10" ht="57" x14ac:dyDescent="0.2">
      <c r="A67" s="32">
        <v>97</v>
      </c>
      <c r="B67" s="90" t="s">
        <v>387</v>
      </c>
      <c r="C67" s="93">
        <v>70463250</v>
      </c>
      <c r="D67" s="3" t="s">
        <v>527</v>
      </c>
      <c r="E67" s="90" t="s">
        <v>377</v>
      </c>
      <c r="F67" s="32" t="s">
        <v>59</v>
      </c>
      <c r="G67" s="32" t="s">
        <v>59</v>
      </c>
      <c r="H67" s="32" t="s">
        <v>379</v>
      </c>
      <c r="I67" s="32" t="s">
        <v>380</v>
      </c>
      <c r="J67" s="33" t="s">
        <v>50</v>
      </c>
    </row>
    <row r="68" spans="1:10" ht="57" x14ac:dyDescent="0.2">
      <c r="A68" s="32">
        <v>98</v>
      </c>
      <c r="B68" s="90" t="s">
        <v>394</v>
      </c>
      <c r="C68" s="93">
        <v>12100000000</v>
      </c>
      <c r="D68" s="91" t="s">
        <v>529</v>
      </c>
      <c r="E68" s="90" t="s">
        <v>393</v>
      </c>
      <c r="F68" s="32" t="s">
        <v>59</v>
      </c>
      <c r="G68" s="32" t="s">
        <v>69</v>
      </c>
      <c r="H68" s="32" t="s">
        <v>396</v>
      </c>
      <c r="I68" s="32" t="s">
        <v>366</v>
      </c>
      <c r="J68" s="33" t="s">
        <v>50</v>
      </c>
    </row>
    <row r="69" spans="1:10" ht="71.25" x14ac:dyDescent="0.2">
      <c r="A69" s="32">
        <v>99</v>
      </c>
      <c r="B69" s="90" t="s">
        <v>405</v>
      </c>
      <c r="C69" s="93">
        <v>8300000000</v>
      </c>
      <c r="D69" s="91" t="s">
        <v>529</v>
      </c>
      <c r="E69" s="90" t="s">
        <v>404</v>
      </c>
      <c r="F69" s="32" t="s">
        <v>59</v>
      </c>
      <c r="G69" s="32" t="s">
        <v>59</v>
      </c>
      <c r="H69" s="32" t="s">
        <v>396</v>
      </c>
      <c r="I69" s="32" t="s">
        <v>366</v>
      </c>
      <c r="J69" s="33" t="s">
        <v>50</v>
      </c>
    </row>
    <row r="70" spans="1:10" ht="57" x14ac:dyDescent="0.2">
      <c r="A70" s="32">
        <v>100</v>
      </c>
      <c r="B70" s="90" t="s">
        <v>412</v>
      </c>
      <c r="C70" s="93">
        <v>2300000000</v>
      </c>
      <c r="D70" s="91" t="s">
        <v>529</v>
      </c>
      <c r="E70" s="90" t="s">
        <v>404</v>
      </c>
      <c r="F70" s="32" t="s">
        <v>59</v>
      </c>
      <c r="G70" s="32" t="s">
        <v>59</v>
      </c>
      <c r="H70" s="32" t="s">
        <v>396</v>
      </c>
      <c r="I70" s="32" t="s">
        <v>366</v>
      </c>
      <c r="J70" s="33" t="s">
        <v>50</v>
      </c>
    </row>
    <row r="71" spans="1:10" ht="57" x14ac:dyDescent="0.2">
      <c r="A71" s="32">
        <v>101</v>
      </c>
      <c r="B71" s="90" t="s">
        <v>419</v>
      </c>
      <c r="C71" s="93">
        <v>1450000000</v>
      </c>
      <c r="D71" s="91" t="s">
        <v>529</v>
      </c>
      <c r="E71" s="90" t="s">
        <v>404</v>
      </c>
      <c r="F71" s="32" t="s">
        <v>87</v>
      </c>
      <c r="G71" s="32" t="s">
        <v>79</v>
      </c>
      <c r="H71" s="32" t="s">
        <v>396</v>
      </c>
      <c r="I71" s="32" t="s">
        <v>366</v>
      </c>
      <c r="J71" s="33" t="s">
        <v>50</v>
      </c>
    </row>
    <row r="72" spans="1:10" ht="57" x14ac:dyDescent="0.2">
      <c r="A72" s="32">
        <v>102</v>
      </c>
      <c r="B72" s="90" t="s">
        <v>426</v>
      </c>
      <c r="C72" s="93">
        <v>100000000</v>
      </c>
      <c r="D72" s="91" t="s">
        <v>529</v>
      </c>
      <c r="E72" s="90" t="s">
        <v>424</v>
      </c>
      <c r="F72" s="32" t="s">
        <v>59</v>
      </c>
      <c r="G72" s="32" t="s">
        <v>59</v>
      </c>
      <c r="H72" s="32" t="s">
        <v>428</v>
      </c>
      <c r="I72" s="99" t="s">
        <v>429</v>
      </c>
      <c r="J72" s="33" t="s">
        <v>50</v>
      </c>
    </row>
    <row r="73" spans="1:10" ht="57" x14ac:dyDescent="0.2">
      <c r="A73" s="32">
        <v>103</v>
      </c>
      <c r="B73" s="90" t="s">
        <v>432</v>
      </c>
      <c r="C73" s="93">
        <v>0</v>
      </c>
      <c r="D73" s="91" t="s">
        <v>537</v>
      </c>
      <c r="E73" s="90" t="s">
        <v>424</v>
      </c>
      <c r="F73" s="32" t="s">
        <v>87</v>
      </c>
      <c r="G73" s="32" t="s">
        <v>69</v>
      </c>
      <c r="H73" s="32" t="s">
        <v>428</v>
      </c>
      <c r="I73" s="99" t="s">
        <v>429</v>
      </c>
      <c r="J73" s="33" t="s">
        <v>50</v>
      </c>
    </row>
    <row r="74" spans="1:10" ht="99.75" x14ac:dyDescent="0.2">
      <c r="A74" s="32">
        <v>104</v>
      </c>
      <c r="B74" s="90" t="s">
        <v>439</v>
      </c>
      <c r="C74" s="93">
        <v>750000000</v>
      </c>
      <c r="D74" s="91" t="s">
        <v>529</v>
      </c>
      <c r="E74" s="90" t="s">
        <v>424</v>
      </c>
      <c r="F74" s="32" t="s">
        <v>79</v>
      </c>
      <c r="G74" s="32" t="s">
        <v>79</v>
      </c>
      <c r="H74" s="32" t="s">
        <v>428</v>
      </c>
      <c r="I74" s="99" t="s">
        <v>429</v>
      </c>
      <c r="J74" s="33" t="s">
        <v>50</v>
      </c>
    </row>
    <row r="75" spans="1:10" ht="57" x14ac:dyDescent="0.2">
      <c r="A75" s="32">
        <v>109</v>
      </c>
      <c r="B75" s="90" t="s">
        <v>539</v>
      </c>
      <c r="C75" s="93">
        <v>45170124</v>
      </c>
      <c r="D75" s="32" t="s">
        <v>528</v>
      </c>
      <c r="E75" s="90" t="s">
        <v>490</v>
      </c>
      <c r="F75" s="32" t="s">
        <v>87</v>
      </c>
      <c r="G75" s="32" t="s">
        <v>87</v>
      </c>
      <c r="H75" s="32" t="s">
        <v>494</v>
      </c>
      <c r="I75" s="32" t="s">
        <v>496</v>
      </c>
      <c r="J75" s="32" t="s">
        <v>50</v>
      </c>
    </row>
    <row r="76" spans="1:10" ht="28.5" x14ac:dyDescent="0.2">
      <c r="A76" s="32">
        <v>110</v>
      </c>
      <c r="B76" s="90" t="s">
        <v>540</v>
      </c>
      <c r="C76" s="93">
        <v>29950000</v>
      </c>
      <c r="D76" s="91" t="s">
        <v>528</v>
      </c>
      <c r="E76" s="90" t="s">
        <v>490</v>
      </c>
      <c r="F76" s="32" t="s">
        <v>87</v>
      </c>
      <c r="G76" s="32" t="s">
        <v>87</v>
      </c>
      <c r="H76" s="32" t="s">
        <v>494</v>
      </c>
      <c r="I76" s="32" t="s">
        <v>496</v>
      </c>
      <c r="J76" s="32" t="s">
        <v>50</v>
      </c>
    </row>
    <row r="77" spans="1:10" ht="57" x14ac:dyDescent="0.2">
      <c r="A77" s="32">
        <v>111</v>
      </c>
      <c r="B77" s="90" t="s">
        <v>535</v>
      </c>
      <c r="C77" s="93">
        <v>6900000</v>
      </c>
      <c r="D77" s="3" t="s">
        <v>527</v>
      </c>
      <c r="E77" s="90" t="s">
        <v>85</v>
      </c>
      <c r="F77" s="32" t="s">
        <v>87</v>
      </c>
      <c r="G77" s="32" t="s">
        <v>79</v>
      </c>
      <c r="H77" s="32" t="s">
        <v>350</v>
      </c>
      <c r="I77" s="32" t="s">
        <v>351</v>
      </c>
      <c r="J77" s="32" t="s">
        <v>50</v>
      </c>
    </row>
    <row r="78" spans="1:10" ht="57" x14ac:dyDescent="0.2">
      <c r="A78" s="32">
        <v>112</v>
      </c>
      <c r="B78" s="90" t="s">
        <v>536</v>
      </c>
      <c r="C78" s="93">
        <v>10000000</v>
      </c>
      <c r="D78" s="3" t="s">
        <v>527</v>
      </c>
      <c r="E78" s="90" t="s">
        <v>85</v>
      </c>
      <c r="F78" s="32" t="s">
        <v>87</v>
      </c>
      <c r="G78" s="32" t="s">
        <v>79</v>
      </c>
      <c r="H78" s="32" t="s">
        <v>350</v>
      </c>
      <c r="I78" s="32" t="s">
        <v>351</v>
      </c>
      <c r="J78" s="32" t="s">
        <v>50</v>
      </c>
    </row>
    <row r="79" spans="1:10" ht="42.75" x14ac:dyDescent="0.2">
      <c r="A79" s="32">
        <v>113</v>
      </c>
      <c r="B79" s="90" t="s">
        <v>504</v>
      </c>
      <c r="C79" s="93">
        <v>62100000</v>
      </c>
      <c r="D79" s="3" t="s">
        <v>527</v>
      </c>
      <c r="E79" s="90" t="s">
        <v>349</v>
      </c>
      <c r="F79" s="32" t="s">
        <v>87</v>
      </c>
      <c r="G79" s="32" t="s">
        <v>79</v>
      </c>
      <c r="H79" s="32" t="s">
        <v>350</v>
      </c>
      <c r="I79" s="32" t="s">
        <v>351</v>
      </c>
      <c r="J79" s="32" t="s">
        <v>50</v>
      </c>
    </row>
    <row r="80" spans="1:10" ht="42.75" x14ac:dyDescent="0.2">
      <c r="A80" s="32">
        <v>114</v>
      </c>
      <c r="B80" s="90" t="s">
        <v>505</v>
      </c>
      <c r="C80" s="93">
        <v>90000000</v>
      </c>
      <c r="D80" s="3" t="s">
        <v>527</v>
      </c>
      <c r="E80" s="90" t="s">
        <v>98</v>
      </c>
      <c r="F80" s="32" t="s">
        <v>87</v>
      </c>
      <c r="G80" s="32" t="s">
        <v>79</v>
      </c>
      <c r="H80" s="32" t="s">
        <v>506</v>
      </c>
      <c r="I80" s="32" t="s">
        <v>507</v>
      </c>
      <c r="J80" s="32" t="s">
        <v>50</v>
      </c>
    </row>
    <row r="81" spans="1:10" ht="42.75" x14ac:dyDescent="0.2">
      <c r="A81" s="32">
        <v>115</v>
      </c>
      <c r="B81" s="90" t="s">
        <v>505</v>
      </c>
      <c r="C81" s="93">
        <v>70200000</v>
      </c>
      <c r="D81" s="3" t="s">
        <v>527</v>
      </c>
      <c r="E81" s="90" t="s">
        <v>98</v>
      </c>
      <c r="F81" s="32" t="s">
        <v>87</v>
      </c>
      <c r="G81" s="32" t="s">
        <v>79</v>
      </c>
      <c r="H81" s="32" t="s">
        <v>506</v>
      </c>
      <c r="I81" s="32" t="s">
        <v>507</v>
      </c>
      <c r="J81" s="32" t="s">
        <v>50</v>
      </c>
    </row>
    <row r="82" spans="1:10" ht="42.75" x14ac:dyDescent="0.2">
      <c r="A82" s="32">
        <v>116</v>
      </c>
      <c r="B82" s="90" t="s">
        <v>508</v>
      </c>
      <c r="C82" s="93">
        <v>90000000</v>
      </c>
      <c r="D82" s="3" t="s">
        <v>527</v>
      </c>
      <c r="E82" s="90" t="s">
        <v>98</v>
      </c>
      <c r="F82" s="32" t="s">
        <v>87</v>
      </c>
      <c r="G82" s="32" t="s">
        <v>79</v>
      </c>
      <c r="H82" s="32" t="s">
        <v>506</v>
      </c>
      <c r="I82" s="32" t="s">
        <v>507</v>
      </c>
      <c r="J82" s="32" t="s">
        <v>50</v>
      </c>
    </row>
    <row r="83" spans="1:10" ht="42.75" x14ac:dyDescent="0.2">
      <c r="A83" s="32">
        <v>117</v>
      </c>
      <c r="B83" s="97" t="s">
        <v>512</v>
      </c>
      <c r="C83" s="93">
        <v>80000000</v>
      </c>
      <c r="D83" s="91" t="s">
        <v>528</v>
      </c>
      <c r="E83" s="90" t="s">
        <v>302</v>
      </c>
      <c r="F83" s="32" t="s">
        <v>87</v>
      </c>
      <c r="G83" s="32" t="s">
        <v>69</v>
      </c>
      <c r="H83" s="32" t="s">
        <v>305</v>
      </c>
      <c r="I83" s="32" t="s">
        <v>306</v>
      </c>
      <c r="J83" s="32" t="s">
        <v>50</v>
      </c>
    </row>
  </sheetData>
  <autoFilter ref="A1:J83" xr:uid="{E78000AC-9CEC-45AC-9C3E-885E3BFD9C4F}"/>
  <conditionalFormatting sqref="J1:J83">
    <cfRule type="cellIs" dxfId="3190" priority="5" operator="equal">
      <formula>"NO"</formula>
    </cfRule>
    <cfRule type="cellIs" dxfId="3189" priority="6" operator="equal">
      <formula>"SI"</formula>
    </cfRule>
  </conditionalFormatting>
  <hyperlinks>
    <hyperlink ref="I2" r:id="rId1" xr:uid="{FDCEC75A-8313-4D92-8A21-F518570CEB1F}"/>
    <hyperlink ref="I3" r:id="rId2" xr:uid="{E4CE5446-DD04-44A3-A916-639E56F18152}"/>
    <hyperlink ref="I4" r:id="rId3" xr:uid="{D3E71197-6E92-40E6-8CF4-34E0539F1C57}"/>
    <hyperlink ref="I7" r:id="rId4" display="hgaitan@saesas.gov.co" xr:uid="{7A50B463-5F1F-45AB-AACD-60D2BED5BD8E}"/>
    <hyperlink ref="I8" r:id="rId5" display="hgaitan@saesas.gov.co" xr:uid="{68B28380-CC24-4A90-8CD5-40AF9E9D8994}"/>
    <hyperlink ref="I9" r:id="rId6" display="hgaitan@saesas.gov.co" xr:uid="{C1925C61-1BB8-4CB9-93FE-B27010870DE6}"/>
    <hyperlink ref="I10" r:id="rId7" xr:uid="{26AE058D-B5CC-4580-9545-03623AA5BD24}"/>
    <hyperlink ref="I11" r:id="rId8" xr:uid="{82145C78-7FB6-46A1-8FC6-7EAA347D3BA7}"/>
    <hyperlink ref="I12" r:id="rId9" xr:uid="{2D92AF61-1A69-4A5F-B64C-5F51A8205AB5}"/>
    <hyperlink ref="I13" r:id="rId10" xr:uid="{74160215-4AF7-4D76-AAC4-3FE9A66C05B4}"/>
    <hyperlink ref="I15" r:id="rId11" xr:uid="{1596ACA6-6076-44E9-84E3-9B7CBD19E106}"/>
    <hyperlink ref="I17" r:id="rId12" xr:uid="{4B3FADA4-E9CE-49F3-AE1D-F2F9977E5B0F}"/>
    <hyperlink ref="I18" r:id="rId13" xr:uid="{D3CBFFB0-0EAA-43A1-B0F7-107BC21018AB}"/>
    <hyperlink ref="I14" r:id="rId14" xr:uid="{D3002EF1-1CA6-4BB0-A657-F96A17B5CFF4}"/>
    <hyperlink ref="I16" r:id="rId15" xr:uid="{FF17A473-6813-4312-81A9-8D04057A58ED}"/>
    <hyperlink ref="I22" r:id="rId16" xr:uid="{455BDFBE-8A29-4C07-8322-515E626A77E4}"/>
    <hyperlink ref="I24" r:id="rId17" xr:uid="{3B5E6730-407E-4BAD-BE8C-879D08C8F9E3}"/>
    <hyperlink ref="I28" r:id="rId18" xr:uid="{7889C8BA-4BC5-47BB-AC4B-0705CBA97324}"/>
    <hyperlink ref="I27" r:id="rId19" xr:uid="{C9C9330F-70A1-4230-94AF-026E5DF4F1DF}"/>
    <hyperlink ref="I26" r:id="rId20" xr:uid="{63FEEF61-6E6C-4270-9080-44616E598D7A}"/>
    <hyperlink ref="I30" r:id="rId21" xr:uid="{8F695E70-D4B9-4D4B-86E2-9C9CCEE102CC}"/>
    <hyperlink ref="I31" r:id="rId22" xr:uid="{D0CF9557-BA89-423A-8BDB-D5DD216EF4B3}"/>
    <hyperlink ref="I29" r:id="rId23" xr:uid="{5ED630F6-EE3B-4EA4-A47E-1D699B0561E8}"/>
    <hyperlink ref="I34" r:id="rId24" xr:uid="{05CF345E-E268-401D-9BC0-1A4A8841A9D2}"/>
    <hyperlink ref="I39" r:id="rId25" xr:uid="{B9034FA1-E09B-4208-9184-048EA997BB76}"/>
    <hyperlink ref="I32" r:id="rId26" xr:uid="{6A605463-4EC1-46FD-9195-6EBF802A1A5F}"/>
    <hyperlink ref="I33" r:id="rId27" xr:uid="{42F38EAD-604B-4EAE-8008-C2BA6DEB4F9F}"/>
    <hyperlink ref="I35" r:id="rId28" xr:uid="{2FC04276-A91F-4412-AD6F-DFC27B1035FA}"/>
    <hyperlink ref="I36" r:id="rId29" xr:uid="{F30E0212-C62A-4E70-BD7C-7C268AE72EB7}"/>
    <hyperlink ref="I37" r:id="rId30" xr:uid="{E891D730-8B45-4078-8B52-BC1B630437F3}"/>
    <hyperlink ref="I38" r:id="rId31" xr:uid="{4DC3D79A-CB19-4744-8C62-7AE0F0DB65FC}"/>
    <hyperlink ref="I50" r:id="rId32" xr:uid="{72D6EF90-35BD-4D0D-8293-2D7746986A0A}"/>
    <hyperlink ref="I40" r:id="rId33" xr:uid="{1F524140-9264-4930-94D9-28F25915E0ED}"/>
    <hyperlink ref="I49" r:id="rId34" xr:uid="{9C5D5CA4-7EB6-47C0-99D3-3B063C2BD686}"/>
    <hyperlink ref="I41" r:id="rId35" xr:uid="{AAB8D37D-E69A-4A0A-A46F-8CDEB0CCFC1A}"/>
    <hyperlink ref="I42" r:id="rId36" xr:uid="{3414763C-D478-4C9B-95F5-2426A39AEA94}"/>
    <hyperlink ref="I43" r:id="rId37" xr:uid="{4043EA6A-9D3C-480E-97DD-1D15ABB73B83}"/>
    <hyperlink ref="I44" r:id="rId38" xr:uid="{8D827AC1-56FA-424D-B5C6-3C1D1801EE94}"/>
    <hyperlink ref="I45" r:id="rId39" xr:uid="{84A3BF55-CECC-4489-8345-0EC6B0D03EC2}"/>
    <hyperlink ref="I46" r:id="rId40" xr:uid="{F8A0188E-79A8-48CF-9697-6FDD6C485D43}"/>
    <hyperlink ref="I47" r:id="rId41" xr:uid="{6D82D91F-C4AD-491B-85C7-BA2B2E80EC56}"/>
    <hyperlink ref="I48" r:id="rId42" xr:uid="{E33830B1-257F-401C-973D-BD4A961B0971}"/>
    <hyperlink ref="I51" r:id="rId43" xr:uid="{7A518930-2012-4235-8494-95DC9652080E}"/>
    <hyperlink ref="I72" r:id="rId44" xr:uid="{0A2C3458-E96E-470D-A6B2-45F51244706D}"/>
    <hyperlink ref="I73" r:id="rId45" xr:uid="{9E0A8096-EDF3-422E-A819-686826F9DB13}"/>
    <hyperlink ref="I74" r:id="rId46" xr:uid="{EB21BF91-DA98-4557-A63A-D40FB410BEF2}"/>
    <hyperlink ref="I75:I76" r:id="rId47" display="jarivera@saesas.gov.co" xr:uid="{669FDB70-7C82-4974-94B4-E0EE5424CF3E}"/>
    <hyperlink ref="I79" r:id="rId48" xr:uid="{ED303B46-0521-4D22-B4ED-AB79085D61A7}"/>
    <hyperlink ref="I82" r:id="rId49" xr:uid="{767B9902-E5BC-4FC1-8454-9665721A837C}"/>
  </hyperlinks>
  <pageMargins left="0.7" right="0.7" top="0.75" bottom="0.75" header="0.3" footer="0.3"/>
  <pageSetup paperSize="9" scale="28" orientation="portrait" r:id="rId5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vt:i4>
      </vt:variant>
    </vt:vector>
  </HeadingPairs>
  <TitlesOfParts>
    <vt:vector size="8" baseType="lpstr">
      <vt:lpstr>PAA 2025 FEBRERO 14</vt:lpstr>
      <vt:lpstr>GENERAL</vt:lpstr>
      <vt:lpstr>DEPENDENCIAS</vt:lpstr>
      <vt:lpstr>MES</vt:lpstr>
      <vt:lpstr>VALORES</vt:lpstr>
      <vt:lpstr>MODALIDAD</vt:lpstr>
      <vt:lpstr>ALERTAS</vt:lpstr>
      <vt:lpstr>ALERTAS!Área_de_impresión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Olga Patricia Ballesteros Silva</dc:creator>
  <cp:lastModifiedBy>Jaime Leonardo Gonzalez Aldana</cp:lastModifiedBy>
  <cp:lastPrinted>2025-03-31T19:48:27Z</cp:lastPrinted>
  <dcterms:created xsi:type="dcterms:W3CDTF">2025-02-03T22:00:54Z</dcterms:created>
  <dcterms:modified xsi:type="dcterms:W3CDTF">2025-05-16T16:06:17Z</dcterms:modified>
</cp:coreProperties>
</file>